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dfin.vmr.gov.ua\DavWWWRoot\Documents\Відділ доходів бюджету\Серветник Максим Миколайович\Аналізи\Щомісячні\Аналіз 2026 рік\Сайт\"/>
    </mc:Choice>
  </mc:AlternateContent>
  <bookViews>
    <workbookView xWindow="0" yWindow="0" windowWidth="28800" windowHeight="11910" tabRatio="774"/>
  </bookViews>
  <sheets>
    <sheet name="2026" sheetId="23" r:id="rId1"/>
  </sheets>
  <definedNames>
    <definedName name="_xlnm.Print_Titles" localSheetId="0">'2026'!$3:$5</definedName>
    <definedName name="_xlnm.Print_Area" localSheetId="0">'2026'!$A$1:$T$115</definedName>
  </definedNames>
  <calcPr calcId="162913"/>
</workbook>
</file>

<file path=xl/calcChain.xml><?xml version="1.0" encoding="utf-8"?>
<calcChain xmlns="http://schemas.openxmlformats.org/spreadsheetml/2006/main">
  <c r="L74" i="23" l="1"/>
  <c r="L62" i="23"/>
  <c r="F85" i="23" l="1"/>
  <c r="F55" i="23"/>
  <c r="P55" i="23" s="1"/>
  <c r="F56" i="23"/>
  <c r="F57" i="23"/>
  <c r="F58" i="23"/>
  <c r="M58" i="23" s="1"/>
  <c r="F59" i="23"/>
  <c r="F60" i="23"/>
  <c r="F61" i="23"/>
  <c r="F62" i="23"/>
  <c r="F53" i="23"/>
  <c r="F54" i="23"/>
  <c r="S54" i="23" s="1"/>
  <c r="K76" i="23"/>
  <c r="J76" i="23"/>
  <c r="J77" i="23"/>
  <c r="J68" i="23"/>
  <c r="P58" i="23"/>
  <c r="M55" i="23"/>
  <c r="N54" i="23"/>
  <c r="O54" i="23"/>
  <c r="A54" i="23"/>
  <c r="A55" i="23" s="1"/>
  <c r="A56" i="23" s="1"/>
  <c r="A57" i="23" s="1"/>
  <c r="A58" i="23" s="1"/>
  <c r="A59" i="23" s="1"/>
  <c r="A60" i="23" s="1"/>
  <c r="A61" i="23" s="1"/>
  <c r="A62" i="23" s="1"/>
  <c r="A63" i="23" s="1"/>
  <c r="A64" i="23" s="1"/>
  <c r="L54" i="23" l="1"/>
  <c r="K64" i="23"/>
  <c r="E116" i="23"/>
  <c r="E76" i="23"/>
  <c r="E68" i="23"/>
  <c r="N55" i="23"/>
  <c r="S55" i="23"/>
  <c r="L55" i="23" l="1"/>
  <c r="O55" i="23"/>
  <c r="Q55" i="23"/>
  <c r="N127" i="23"/>
  <c r="N91" i="23"/>
  <c r="N90" i="23"/>
  <c r="N89" i="23"/>
  <c r="N88" i="23"/>
  <c r="N86" i="23"/>
  <c r="N85" i="23"/>
  <c r="N84" i="23"/>
  <c r="N83" i="23"/>
  <c r="N82" i="23"/>
  <c r="N60" i="23"/>
  <c r="N61" i="23"/>
  <c r="N62" i="23"/>
  <c r="N50" i="23"/>
  <c r="N49" i="23"/>
  <c r="N48" i="23"/>
  <c r="N47" i="23"/>
  <c r="N46" i="23"/>
  <c r="N45" i="23"/>
  <c r="N44" i="23"/>
  <c r="N43" i="23"/>
  <c r="N42" i="23"/>
  <c r="N41" i="23"/>
  <c r="N40" i="23"/>
  <c r="N39" i="23"/>
  <c r="N38" i="23"/>
  <c r="N37" i="23"/>
  <c r="N36" i="23"/>
  <c r="N35" i="23"/>
  <c r="N34" i="23"/>
  <c r="N33" i="23"/>
  <c r="N32" i="23"/>
  <c r="N31" i="23"/>
  <c r="N30" i="23"/>
  <c r="N29" i="23"/>
  <c r="N28" i="23"/>
  <c r="N27" i="23"/>
  <c r="N26" i="23"/>
  <c r="N25" i="23"/>
  <c r="N24" i="23"/>
  <c r="N23" i="23"/>
  <c r="N21" i="23"/>
  <c r="N20" i="23"/>
  <c r="N19" i="23"/>
  <c r="N17" i="23"/>
  <c r="N16" i="23"/>
  <c r="N13" i="23"/>
  <c r="N12" i="23"/>
  <c r="N11" i="23"/>
  <c r="N10" i="23"/>
  <c r="N9" i="23"/>
  <c r="N8" i="23"/>
  <c r="N7" i="23"/>
  <c r="R77" i="23"/>
  <c r="R74" i="23"/>
  <c r="S62" i="23"/>
  <c r="R37" i="23"/>
  <c r="R22" i="23"/>
  <c r="R18" i="23"/>
  <c r="R15" i="23"/>
  <c r="R14" i="23"/>
  <c r="R9" i="23"/>
  <c r="I112" i="23" l="1"/>
  <c r="I111" i="23"/>
  <c r="I110" i="23"/>
  <c r="I109" i="23"/>
  <c r="I108" i="23"/>
  <c r="I107" i="23"/>
  <c r="I98" i="23"/>
  <c r="I97" i="23"/>
  <c r="I96" i="23"/>
  <c r="I87" i="23"/>
  <c r="I81" i="23"/>
  <c r="I92" i="23" s="1"/>
  <c r="I101" i="23" s="1"/>
  <c r="I77" i="23"/>
  <c r="I76" i="23"/>
  <c r="I75" i="23"/>
  <c r="I71" i="23" s="1"/>
  <c r="I73" i="23"/>
  <c r="I64" i="23"/>
  <c r="I37" i="23"/>
  <c r="I22" i="23"/>
  <c r="I18" i="23"/>
  <c r="I15" i="23"/>
  <c r="I14" i="23"/>
  <c r="I9" i="23"/>
  <c r="I51" i="23" s="1"/>
  <c r="H5" i="23"/>
  <c r="I5" i="23"/>
  <c r="J5" i="23"/>
  <c r="I103" i="23" l="1"/>
  <c r="I113" i="23"/>
  <c r="I116" i="23" s="1"/>
  <c r="I79" i="23"/>
  <c r="O60" i="23"/>
  <c r="L60" i="23"/>
  <c r="L85" i="23"/>
  <c r="O85" i="23"/>
  <c r="E89" i="23" l="1"/>
  <c r="J64" i="23"/>
  <c r="F7" i="23"/>
  <c r="R64" i="23"/>
  <c r="S85" i="23"/>
  <c r="S60" i="23"/>
  <c r="H37" i="23" l="1"/>
  <c r="J37" i="23"/>
  <c r="H111" i="23"/>
  <c r="H109" i="23"/>
  <c r="H98" i="23"/>
  <c r="H97" i="23"/>
  <c r="H96" i="23"/>
  <c r="H87" i="23"/>
  <c r="H81" i="23"/>
  <c r="H92" i="23" s="1"/>
  <c r="H101" i="23" s="1"/>
  <c r="H77" i="23"/>
  <c r="H75" i="23" s="1"/>
  <c r="H71" i="23" s="1"/>
  <c r="H76" i="23"/>
  <c r="H73" i="23"/>
  <c r="H108" i="23" s="1"/>
  <c r="H64" i="23"/>
  <c r="H22" i="23"/>
  <c r="H18" i="23"/>
  <c r="H15" i="23"/>
  <c r="H9" i="23"/>
  <c r="H112" i="23" l="1"/>
  <c r="H110" i="23"/>
  <c r="H14" i="23"/>
  <c r="H51" i="23"/>
  <c r="H79" i="23" s="1"/>
  <c r="H107" i="23"/>
  <c r="H103" i="23" l="1"/>
  <c r="H113" i="23" s="1"/>
  <c r="H116" i="23" s="1"/>
  <c r="K73" i="23" l="1"/>
  <c r="N68" i="23"/>
  <c r="K37" i="23"/>
  <c r="F105" i="23" l="1"/>
  <c r="T105" i="23" s="1"/>
  <c r="F99" i="23"/>
  <c r="F98" i="23"/>
  <c r="F97" i="23"/>
  <c r="F96" i="23"/>
  <c r="F94" i="23"/>
  <c r="F93" i="23"/>
  <c r="F91" i="23"/>
  <c r="F90" i="23"/>
  <c r="F89" i="23"/>
  <c r="T89" i="23" s="1"/>
  <c r="F88" i="23"/>
  <c r="F86" i="23"/>
  <c r="F84" i="23"/>
  <c r="F83" i="23"/>
  <c r="F82" i="23"/>
  <c r="F78" i="23"/>
  <c r="F74" i="23"/>
  <c r="S74" i="23" s="1"/>
  <c r="F70" i="23"/>
  <c r="T70" i="23" s="1"/>
  <c r="F69" i="23"/>
  <c r="F68" i="23"/>
  <c r="F67" i="23"/>
  <c r="T67" i="23" s="1"/>
  <c r="F66" i="23"/>
  <c r="F65" i="23"/>
  <c r="T65" i="23" s="1"/>
  <c r="F63" i="23"/>
  <c r="Q58" i="23"/>
  <c r="F52" i="23"/>
  <c r="F50" i="23"/>
  <c r="F49" i="23"/>
  <c r="F48" i="23"/>
  <c r="F47" i="23"/>
  <c r="F46" i="23"/>
  <c r="F45" i="23"/>
  <c r="T45" i="23" s="1"/>
  <c r="F44" i="23"/>
  <c r="F43" i="23"/>
  <c r="F42" i="23"/>
  <c r="L42" i="23" s="1"/>
  <c r="F41" i="23"/>
  <c r="F40" i="23"/>
  <c r="F39" i="23"/>
  <c r="F38" i="23"/>
  <c r="F36" i="23"/>
  <c r="M36" i="23" s="1"/>
  <c r="F35" i="23"/>
  <c r="F34" i="23"/>
  <c r="F33" i="23"/>
  <c r="F32" i="23"/>
  <c r="F31" i="23"/>
  <c r="F30" i="23"/>
  <c r="M30" i="23" s="1"/>
  <c r="F29" i="23"/>
  <c r="F28" i="23"/>
  <c r="M28" i="23" s="1"/>
  <c r="F27" i="23"/>
  <c r="F26" i="23"/>
  <c r="F25" i="23"/>
  <c r="F24" i="23"/>
  <c r="F23" i="23"/>
  <c r="F21" i="23"/>
  <c r="F20" i="23"/>
  <c r="F19" i="23"/>
  <c r="F17" i="23"/>
  <c r="F16" i="23"/>
  <c r="F13" i="23"/>
  <c r="F12" i="23"/>
  <c r="F11" i="23"/>
  <c r="F10" i="23"/>
  <c r="M10" i="23" s="1"/>
  <c r="F8" i="23"/>
  <c r="Q105" i="23"/>
  <c r="E64" i="23"/>
  <c r="M66" i="23" l="1"/>
  <c r="T66" i="23"/>
  <c r="S68" i="23"/>
  <c r="T68" i="23"/>
  <c r="M69" i="23"/>
  <c r="T69" i="23"/>
  <c r="M88" i="23"/>
  <c r="P88" i="23"/>
  <c r="Q88" i="23"/>
  <c r="T88" i="23"/>
  <c r="M67" i="23"/>
  <c r="Q57" i="23"/>
  <c r="M57" i="23"/>
  <c r="L58" i="23"/>
  <c r="Q68" i="23"/>
  <c r="O68" i="23"/>
  <c r="P68" i="23"/>
  <c r="L68" i="23"/>
  <c r="M68" i="23"/>
  <c r="M70" i="23"/>
  <c r="T86" i="23"/>
  <c r="M86" i="23"/>
  <c r="N70" i="23"/>
  <c r="P70" i="23" s="1"/>
  <c r="N69" i="23"/>
  <c r="N67" i="23"/>
  <c r="N66" i="23"/>
  <c r="N65" i="23"/>
  <c r="N63" i="23"/>
  <c r="N59" i="23"/>
  <c r="N58" i="23"/>
  <c r="O58" i="23" s="1"/>
  <c r="N57" i="23"/>
  <c r="O57" i="23" s="1"/>
  <c r="N56" i="23"/>
  <c r="N53" i="23"/>
  <c r="P57" i="23" l="1"/>
  <c r="N76" i="23"/>
  <c r="J97" i="23"/>
  <c r="J96" i="23" s="1"/>
  <c r="J98" i="23"/>
  <c r="J87" i="23"/>
  <c r="F87" i="23" s="1"/>
  <c r="J81" i="23"/>
  <c r="J73" i="23"/>
  <c r="G37" i="23"/>
  <c r="F37" i="23" s="1"/>
  <c r="J22" i="23"/>
  <c r="J18" i="23"/>
  <c r="J15" i="23"/>
  <c r="J9" i="23"/>
  <c r="J109" i="23"/>
  <c r="J92" i="23" l="1"/>
  <c r="J108" i="23"/>
  <c r="F73" i="23"/>
  <c r="S73" i="23" s="1"/>
  <c r="F64" i="23"/>
  <c r="T64" i="23" s="1"/>
  <c r="J112" i="23"/>
  <c r="J111" i="23"/>
  <c r="F111" i="23" s="1"/>
  <c r="F76" i="23"/>
  <c r="J75" i="23"/>
  <c r="J14" i="23"/>
  <c r="J101" i="23" l="1"/>
  <c r="J110" i="23"/>
  <c r="J107" i="23" s="1"/>
  <c r="J71" i="23"/>
  <c r="J51" i="23"/>
  <c r="J103" i="23" s="1"/>
  <c r="G76" i="23"/>
  <c r="G73" i="23"/>
  <c r="Q52" i="23"/>
  <c r="L53" i="23"/>
  <c r="N52" i="23"/>
  <c r="N73" i="23" s="1"/>
  <c r="L52" i="23"/>
  <c r="R98" i="23"/>
  <c r="R97" i="23" s="1"/>
  <c r="R96" i="23" s="1"/>
  <c r="R87" i="23"/>
  <c r="R81" i="23"/>
  <c r="R92" i="23" s="1"/>
  <c r="R76" i="23"/>
  <c r="E87" i="23"/>
  <c r="E81" i="23"/>
  <c r="E92" i="23" s="1"/>
  <c r="A53" i="23"/>
  <c r="E73" i="23"/>
  <c r="E77" i="23"/>
  <c r="E75" i="23" s="1"/>
  <c r="E71" i="23" s="1"/>
  <c r="E37" i="23"/>
  <c r="E22" i="23"/>
  <c r="N22" i="23" s="1"/>
  <c r="E18" i="23"/>
  <c r="N18" i="23" s="1"/>
  <c r="E15" i="23"/>
  <c r="N15" i="23" s="1"/>
  <c r="E9" i="23"/>
  <c r="D73" i="23"/>
  <c r="N108" i="23" l="1"/>
  <c r="J79" i="23"/>
  <c r="J113" i="23"/>
  <c r="J118" i="23" s="1"/>
  <c r="R101" i="23"/>
  <c r="E14" i="23"/>
  <c r="N14" i="23" s="1"/>
  <c r="M52" i="23"/>
  <c r="P52" i="23"/>
  <c r="P53" i="23"/>
  <c r="Q53" i="23"/>
  <c r="R75" i="23"/>
  <c r="R71" i="23" s="1"/>
  <c r="S52" i="23"/>
  <c r="S53" i="23"/>
  <c r="R51" i="23"/>
  <c r="M53" i="23"/>
  <c r="O53" i="23"/>
  <c r="O52" i="23"/>
  <c r="E51" i="23" l="1"/>
  <c r="N125" i="23" s="1"/>
  <c r="R79" i="23"/>
  <c r="S42" i="23"/>
  <c r="Q42" i="23"/>
  <c r="O42" i="23"/>
  <c r="E79" i="23" l="1"/>
  <c r="N51" i="23"/>
  <c r="N126" i="23" s="1"/>
  <c r="P42" i="23"/>
  <c r="S58" i="23"/>
  <c r="Q69" i="23"/>
  <c r="T59" i="23"/>
  <c r="T57" i="23"/>
  <c r="L69" i="23" l="1"/>
  <c r="S69" i="23"/>
  <c r="S57" i="23"/>
  <c r="P59" i="23"/>
  <c r="O69" i="23"/>
  <c r="P69" i="23"/>
  <c r="L59" i="23"/>
  <c r="O59" i="23"/>
  <c r="M59" i="23"/>
  <c r="S59" i="23"/>
  <c r="Q59" i="23"/>
  <c r="L57" i="23"/>
  <c r="E109" i="23"/>
  <c r="E108" i="23"/>
  <c r="E98" i="23"/>
  <c r="E111" i="23" s="1"/>
  <c r="E97" i="23" l="1"/>
  <c r="E103" i="23"/>
  <c r="E96" i="23" l="1"/>
  <c r="E101" i="23" s="1"/>
  <c r="E112" i="23"/>
  <c r="E110" i="23" s="1"/>
  <c r="E107" i="23" l="1"/>
  <c r="E113" i="23" s="1"/>
  <c r="S21" i="23"/>
  <c r="R109" i="23"/>
  <c r="N109" i="23"/>
  <c r="K109" i="23"/>
  <c r="G109" i="23"/>
  <c r="F109" i="23" s="1"/>
  <c r="D109" i="23"/>
  <c r="R108" i="23"/>
  <c r="K108" i="23"/>
  <c r="G108" i="23"/>
  <c r="F108" i="23" s="1"/>
  <c r="D108" i="23"/>
  <c r="K105" i="23"/>
  <c r="N105" i="23" s="1"/>
  <c r="P105" i="23" s="1"/>
  <c r="K98" i="23"/>
  <c r="K97" i="23" s="1"/>
  <c r="K96" i="23" s="1"/>
  <c r="G98" i="23"/>
  <c r="G97" i="23" s="1"/>
  <c r="G96" i="23" s="1"/>
  <c r="D98" i="23"/>
  <c r="D97" i="23" s="1"/>
  <c r="D96" i="23" s="1"/>
  <c r="N94" i="23"/>
  <c r="N93" i="23"/>
  <c r="N98" i="23" s="1"/>
  <c r="N97" i="23" s="1"/>
  <c r="N96" i="23" s="1"/>
  <c r="N129" i="23" s="1"/>
  <c r="L88" i="23"/>
  <c r="K87" i="23"/>
  <c r="G87" i="23"/>
  <c r="D87" i="23"/>
  <c r="A87" i="23"/>
  <c r="L84" i="23"/>
  <c r="N81" i="23"/>
  <c r="N92" i="23" s="1"/>
  <c r="Q82" i="23"/>
  <c r="K81" i="23"/>
  <c r="K92" i="23" s="1"/>
  <c r="G81" i="23"/>
  <c r="D81" i="23"/>
  <c r="D92" i="23" s="1"/>
  <c r="D76" i="23"/>
  <c r="O74" i="23"/>
  <c r="Q70" i="23"/>
  <c r="Q66" i="23"/>
  <c r="S65" i="23"/>
  <c r="N64" i="23"/>
  <c r="N77" i="23" s="1"/>
  <c r="N75" i="23" s="1"/>
  <c r="N71" i="23" s="1"/>
  <c r="N79" i="23" s="1"/>
  <c r="G64" i="23"/>
  <c r="D64" i="23"/>
  <c r="T63" i="23"/>
  <c r="Q61" i="23"/>
  <c r="Y51" i="23"/>
  <c r="T49" i="23"/>
  <c r="M47" i="23"/>
  <c r="S46" i="23"/>
  <c r="M45" i="23"/>
  <c r="Q44" i="23"/>
  <c r="A44" i="23"/>
  <c r="A45" i="23" s="1"/>
  <c r="A46" i="23" s="1"/>
  <c r="A47" i="23" s="1"/>
  <c r="A48" i="23" s="1"/>
  <c r="A49" i="23" s="1"/>
  <c r="A50" i="23" s="1"/>
  <c r="S43" i="23"/>
  <c r="S40" i="23"/>
  <c r="M39" i="23"/>
  <c r="D37" i="23"/>
  <c r="Q36" i="23"/>
  <c r="Q32" i="23"/>
  <c r="S30" i="23"/>
  <c r="L29" i="23"/>
  <c r="A29" i="23"/>
  <c r="A30" i="23" s="1"/>
  <c r="A31" i="23" s="1"/>
  <c r="A32" i="23" s="1"/>
  <c r="A33" i="23" s="1"/>
  <c r="A34" i="23" s="1"/>
  <c r="A35" i="23" s="1"/>
  <c r="A36" i="23" s="1"/>
  <c r="A37" i="23" s="1"/>
  <c r="Q27" i="23"/>
  <c r="Q26" i="23"/>
  <c r="S24" i="23"/>
  <c r="S23" i="23"/>
  <c r="U22" i="23"/>
  <c r="K22" i="23"/>
  <c r="G22" i="23"/>
  <c r="F22" i="23" s="1"/>
  <c r="S19" i="23"/>
  <c r="K18" i="23"/>
  <c r="G18" i="23"/>
  <c r="F18" i="23" s="1"/>
  <c r="D18" i="23"/>
  <c r="Q17" i="23"/>
  <c r="U16" i="23"/>
  <c r="M16" i="23"/>
  <c r="K15" i="23"/>
  <c r="G15" i="23"/>
  <c r="F15" i="23" s="1"/>
  <c r="D15" i="23"/>
  <c r="T13" i="23"/>
  <c r="T11" i="23"/>
  <c r="K9" i="23"/>
  <c r="G9" i="23"/>
  <c r="D9" i="23"/>
  <c r="W8" i="23"/>
  <c r="X8" i="23" s="1"/>
  <c r="T8" i="23"/>
  <c r="A8" i="23"/>
  <c r="X7" i="23"/>
  <c r="W7" i="23"/>
  <c r="Q7" i="23"/>
  <c r="C5" i="23"/>
  <c r="D5" i="23" s="1"/>
  <c r="E5" i="23" s="1"/>
  <c r="Q108" i="23" l="1"/>
  <c r="P108" i="23"/>
  <c r="M108" i="23"/>
  <c r="G92" i="23"/>
  <c r="F92" i="23" s="1"/>
  <c r="F81" i="23"/>
  <c r="M81" i="23" s="1"/>
  <c r="F9" i="23"/>
  <c r="M9" i="23" s="1"/>
  <c r="K77" i="23"/>
  <c r="K75" i="23" s="1"/>
  <c r="K71" i="23" s="1"/>
  <c r="L10" i="23"/>
  <c r="T10" i="23"/>
  <c r="F5" i="23"/>
  <c r="G5" i="23" s="1"/>
  <c r="T12" i="23"/>
  <c r="M12" i="23"/>
  <c r="S31" i="23"/>
  <c r="M31" i="23"/>
  <c r="Q48" i="23"/>
  <c r="M48" i="23"/>
  <c r="Q50" i="23"/>
  <c r="M50" i="23"/>
  <c r="Q11" i="23"/>
  <c r="M11" i="23"/>
  <c r="Q56" i="23"/>
  <c r="T56" i="23"/>
  <c r="Q63" i="23"/>
  <c r="M63" i="23"/>
  <c r="O63" i="23"/>
  <c r="P63" i="23"/>
  <c r="Q73" i="23"/>
  <c r="M73" i="23"/>
  <c r="L73" i="23"/>
  <c r="D77" i="23"/>
  <c r="D75" i="23" s="1"/>
  <c r="D71" i="23" s="1"/>
  <c r="L89" i="23"/>
  <c r="M89" i="23"/>
  <c r="G77" i="23"/>
  <c r="Q35" i="23"/>
  <c r="T35" i="23"/>
  <c r="M105" i="23"/>
  <c r="L21" i="23"/>
  <c r="O21" i="23"/>
  <c r="S49" i="23"/>
  <c r="T33" i="23"/>
  <c r="M33" i="23"/>
  <c r="D101" i="23"/>
  <c r="O34" i="23"/>
  <c r="O45" i="23"/>
  <c r="O46" i="23"/>
  <c r="Q46" i="23"/>
  <c r="P48" i="23"/>
  <c r="S50" i="23"/>
  <c r="D111" i="23"/>
  <c r="S48" i="23"/>
  <c r="L18" i="23"/>
  <c r="P38" i="23"/>
  <c r="O41" i="23"/>
  <c r="P90" i="23"/>
  <c r="P12" i="23"/>
  <c r="P23" i="23"/>
  <c r="P25" i="23"/>
  <c r="O50" i="23"/>
  <c r="S64" i="23"/>
  <c r="O47" i="23"/>
  <c r="Q86" i="23"/>
  <c r="N111" i="23"/>
  <c r="K14" i="23"/>
  <c r="K51" i="23" s="1"/>
  <c r="S32" i="23"/>
  <c r="O33" i="23"/>
  <c r="S29" i="23"/>
  <c r="L32" i="23"/>
  <c r="Q33" i="23"/>
  <c r="S39" i="23"/>
  <c r="M56" i="23"/>
  <c r="O66" i="23"/>
  <c r="Q29" i="23"/>
  <c r="Q39" i="23"/>
  <c r="P7" i="23"/>
  <c r="M32" i="23"/>
  <c r="P66" i="23"/>
  <c r="O84" i="23"/>
  <c r="P11" i="23"/>
  <c r="P32" i="23"/>
  <c r="O86" i="23"/>
  <c r="P8" i="23"/>
  <c r="O13" i="23"/>
  <c r="D14" i="23"/>
  <c r="V22" i="23"/>
  <c r="T23" i="23"/>
  <c r="Q30" i="23"/>
  <c r="L46" i="23"/>
  <c r="L48" i="23"/>
  <c r="O99" i="23"/>
  <c r="M17" i="23"/>
  <c r="O20" i="23"/>
  <c r="Q25" i="23"/>
  <c r="L31" i="23"/>
  <c r="M43" i="23"/>
  <c r="P17" i="23"/>
  <c r="W25" i="23"/>
  <c r="P31" i="23"/>
  <c r="P43" i="23"/>
  <c r="Q90" i="23"/>
  <c r="Q16" i="23"/>
  <c r="S17" i="23"/>
  <c r="M24" i="23"/>
  <c r="Q31" i="23"/>
  <c r="T43" i="23"/>
  <c r="Q12" i="23"/>
  <c r="G14" i="23"/>
  <c r="S16" i="23"/>
  <c r="T17" i="23"/>
  <c r="S18" i="23"/>
  <c r="T24" i="23"/>
  <c r="P30" i="23"/>
  <c r="T32" i="23"/>
  <c r="U32" i="23" s="1"/>
  <c r="G111" i="23"/>
  <c r="P89" i="23"/>
  <c r="L99" i="23"/>
  <c r="P37" i="23"/>
  <c r="M37" i="23"/>
  <c r="T37" i="23"/>
  <c r="M27" i="23"/>
  <c r="M19" i="23"/>
  <c r="Q23" i="23"/>
  <c r="O26" i="23"/>
  <c r="O48" i="23"/>
  <c r="P56" i="23"/>
  <c r="S61" i="23"/>
  <c r="N87" i="23"/>
  <c r="P87" i="23" s="1"/>
  <c r="S10" i="23"/>
  <c r="S13" i="23"/>
  <c r="M18" i="23"/>
  <c r="P19" i="23"/>
  <c r="L23" i="23"/>
  <c r="O22" i="23"/>
  <c r="P26" i="23"/>
  <c r="O27" i="23"/>
  <c r="Q41" i="23"/>
  <c r="O11" i="23"/>
  <c r="L17" i="23"/>
  <c r="Q18" i="23"/>
  <c r="T19" i="23"/>
  <c r="M23" i="23"/>
  <c r="S27" i="23"/>
  <c r="O29" i="23"/>
  <c r="L30" i="23"/>
  <c r="O31" i="23"/>
  <c r="P34" i="23"/>
  <c r="S35" i="23"/>
  <c r="T40" i="23"/>
  <c r="O44" i="23"/>
  <c r="T48" i="23"/>
  <c r="L76" i="23"/>
  <c r="O109" i="23"/>
  <c r="T18" i="23"/>
  <c r="L27" i="23"/>
  <c r="W27" i="23"/>
  <c r="O30" i="23"/>
  <c r="P33" i="23"/>
  <c r="L35" i="23"/>
  <c r="M41" i="23"/>
  <c r="O49" i="23"/>
  <c r="Q20" i="23"/>
  <c r="M35" i="23"/>
  <c r="S36" i="23"/>
  <c r="Q38" i="23"/>
  <c r="P49" i="23"/>
  <c r="O56" i="23"/>
  <c r="T27" i="23"/>
  <c r="L13" i="23"/>
  <c r="M40" i="23"/>
  <c r="O43" i="23"/>
  <c r="O10" i="23"/>
  <c r="P27" i="23"/>
  <c r="P35" i="23"/>
  <c r="P41" i="23"/>
  <c r="Q49" i="23"/>
  <c r="Q8" i="23"/>
  <c r="O35" i="23"/>
  <c r="L39" i="23"/>
  <c r="P40" i="23"/>
  <c r="P45" i="23"/>
  <c r="O83" i="23"/>
  <c r="L93" i="23"/>
  <c r="S8" i="23"/>
  <c r="S20" i="23"/>
  <c r="T28" i="23"/>
  <c r="U28" i="23" s="1"/>
  <c r="S28" i="23"/>
  <c r="L28" i="23"/>
  <c r="S38" i="23"/>
  <c r="O40" i="23"/>
  <c r="S44" i="23"/>
  <c r="T47" i="23"/>
  <c r="M8" i="23"/>
  <c r="S12" i="23"/>
  <c r="L12" i="23"/>
  <c r="S34" i="23"/>
  <c r="O36" i="23"/>
  <c r="S45" i="23"/>
  <c r="T61" i="23"/>
  <c r="M61" i="23"/>
  <c r="P61" i="23"/>
  <c r="O61" i="23"/>
  <c r="Q65" i="23"/>
  <c r="K111" i="23"/>
  <c r="L7" i="23"/>
  <c r="S7" i="23"/>
  <c r="L11" i="23"/>
  <c r="P16" i="23"/>
  <c r="V16" i="23"/>
  <c r="O16" i="23"/>
  <c r="T16" i="23"/>
  <c r="O17" i="23"/>
  <c r="O19" i="23"/>
  <c r="T26" i="23"/>
  <c r="M26" i="23"/>
  <c r="S26" i="23"/>
  <c r="P28" i="23"/>
  <c r="O32" i="23"/>
  <c r="L34" i="23"/>
  <c r="T34" i="23"/>
  <c r="P36" i="23"/>
  <c r="O38" i="23"/>
  <c r="S41" i="23"/>
  <c r="L45" i="23"/>
  <c r="P47" i="23"/>
  <c r="L61" i="23"/>
  <c r="O67" i="23"/>
  <c r="S67" i="23"/>
  <c r="L67" i="23"/>
  <c r="P67" i="23"/>
  <c r="Q67" i="23"/>
  <c r="T44" i="23"/>
  <c r="U44" i="23" s="1"/>
  <c r="M44" i="23"/>
  <c r="S70" i="23"/>
  <c r="O70" i="23"/>
  <c r="Q10" i="23"/>
  <c r="P10" i="23"/>
  <c r="P18" i="23"/>
  <c r="M20" i="23"/>
  <c r="S22" i="23"/>
  <c r="M22" i="23"/>
  <c r="L22" i="23"/>
  <c r="T25" i="23"/>
  <c r="U25" i="23" s="1"/>
  <c r="M25" i="23"/>
  <c r="S25" i="23"/>
  <c r="L25" i="23"/>
  <c r="O28" i="23"/>
  <c r="L37" i="23"/>
  <c r="Q37" i="23"/>
  <c r="P46" i="23"/>
  <c r="M7" i="23"/>
  <c r="T7" i="23"/>
  <c r="O8" i="23"/>
  <c r="O12" i="23"/>
  <c r="L16" i="23"/>
  <c r="P20" i="23"/>
  <c r="T22" i="23"/>
  <c r="O25" i="23"/>
  <c r="L26" i="23"/>
  <c r="Q28" i="23"/>
  <c r="P29" i="23"/>
  <c r="M34" i="23"/>
  <c r="S37" i="23"/>
  <c r="L41" i="23"/>
  <c r="T41" i="23"/>
  <c r="P44" i="23"/>
  <c r="Q47" i="23"/>
  <c r="L82" i="23"/>
  <c r="O82" i="23"/>
  <c r="M82" i="23"/>
  <c r="P82" i="23"/>
  <c r="K101" i="23"/>
  <c r="L105" i="23"/>
  <c r="S105" i="23"/>
  <c r="T36" i="23"/>
  <c r="S47" i="23"/>
  <c r="M65" i="23"/>
  <c r="P65" i="23"/>
  <c r="L65" i="23"/>
  <c r="Q87" i="23"/>
  <c r="L87" i="23"/>
  <c r="O88" i="23"/>
  <c r="O91" i="23"/>
  <c r="L91" i="23"/>
  <c r="P91" i="23"/>
  <c r="Q91" i="23"/>
  <c r="S108" i="23"/>
  <c r="L108" i="23"/>
  <c r="L36" i="23"/>
  <c r="L47" i="23"/>
  <c r="M91" i="23"/>
  <c r="L94" i="23"/>
  <c r="O94" i="23"/>
  <c r="L109" i="23"/>
  <c r="S109" i="23"/>
  <c r="O7" i="23"/>
  <c r="T38" i="23"/>
  <c r="U38" i="23" s="1"/>
  <c r="M38" i="23"/>
  <c r="L8" i="23"/>
  <c r="S11" i="23"/>
  <c r="Q13" i="23"/>
  <c r="P13" i="23"/>
  <c r="L20" i="23"/>
  <c r="T20" i="23"/>
  <c r="D22" i="23"/>
  <c r="O23" i="23"/>
  <c r="Q34" i="23"/>
  <c r="O37" i="23"/>
  <c r="L38" i="23"/>
  <c r="P39" i="23"/>
  <c r="O39" i="23"/>
  <c r="T39" i="23"/>
  <c r="U39" i="23" s="1"/>
  <c r="L44" i="23"/>
  <c r="Q45" i="23"/>
  <c r="S63" i="23"/>
  <c r="L63" i="23"/>
  <c r="O65" i="23"/>
  <c r="L70" i="23"/>
  <c r="L83" i="23"/>
  <c r="M87" i="23"/>
  <c r="O18" i="23"/>
  <c r="Q19" i="23"/>
  <c r="Q24" i="23"/>
  <c r="S33" i="23"/>
  <c r="Q40" i="23"/>
  <c r="Q43" i="23"/>
  <c r="L50" i="23"/>
  <c r="P50" i="23"/>
  <c r="P84" i="23"/>
  <c r="L86" i="23"/>
  <c r="P86" i="23"/>
  <c r="L90" i="23"/>
  <c r="O90" i="23"/>
  <c r="M90" i="23"/>
  <c r="L19" i="23"/>
  <c r="L24" i="23"/>
  <c r="L33" i="23"/>
  <c r="L40" i="23"/>
  <c r="L43" i="23"/>
  <c r="Q89" i="23"/>
  <c r="O89" i="23"/>
  <c r="L49" i="23"/>
  <c r="L56" i="23"/>
  <c r="S56" i="23"/>
  <c r="L66" i="23"/>
  <c r="S66" i="23"/>
  <c r="Q84" i="23"/>
  <c r="O93" i="23"/>
  <c r="M84" i="23"/>
  <c r="L5" i="23" l="1"/>
  <c r="M5" i="23" s="1"/>
  <c r="N5" i="23" s="1"/>
  <c r="O5" i="23" s="1"/>
  <c r="P5" i="23" s="1"/>
  <c r="R5" i="23" s="1"/>
  <c r="S5" i="23" s="1"/>
  <c r="T5" i="23" s="1"/>
  <c r="K112" i="23"/>
  <c r="Q9" i="23"/>
  <c r="S9" i="23"/>
  <c r="T9" i="23"/>
  <c r="P9" i="23"/>
  <c r="L9" i="23"/>
  <c r="F14" i="23"/>
  <c r="S14" i="23" s="1"/>
  <c r="K79" i="23"/>
  <c r="F77" i="23"/>
  <c r="Q77" i="23" s="1"/>
  <c r="G112" i="23"/>
  <c r="F112" i="23" s="1"/>
  <c r="G75" i="23"/>
  <c r="F75" i="23" s="1"/>
  <c r="O105" i="23"/>
  <c r="D112" i="23"/>
  <c r="D110" i="23" s="1"/>
  <c r="D107" i="23" s="1"/>
  <c r="K110" i="23"/>
  <c r="K107" i="23" s="1"/>
  <c r="P81" i="23"/>
  <c r="Q81" i="23"/>
  <c r="O87" i="23"/>
  <c r="O76" i="23"/>
  <c r="D51" i="23"/>
  <c r="D103" i="23" s="1"/>
  <c r="Q64" i="23"/>
  <c r="M64" i="23"/>
  <c r="O81" i="23"/>
  <c r="W49" i="23"/>
  <c r="L64" i="23"/>
  <c r="L81" i="23"/>
  <c r="G51" i="23"/>
  <c r="O9" i="23"/>
  <c r="V51" i="23"/>
  <c r="Q22" i="23"/>
  <c r="O98" i="23"/>
  <c r="L98" i="23"/>
  <c r="N101" i="23"/>
  <c r="N130" i="23" s="1"/>
  <c r="P22" i="23"/>
  <c r="P64" i="23"/>
  <c r="O64" i="23"/>
  <c r="P76" i="23"/>
  <c r="K103" i="23"/>
  <c r="M76" i="23"/>
  <c r="S76" i="23"/>
  <c r="G101" i="23"/>
  <c r="F101" i="23" s="1"/>
  <c r="Q76" i="23"/>
  <c r="T76" i="23"/>
  <c r="O111" i="23"/>
  <c r="L111" i="23"/>
  <c r="P111" i="23"/>
  <c r="Q111" i="23"/>
  <c r="M111" i="23"/>
  <c r="N112" i="23"/>
  <c r="N110" i="23" s="1"/>
  <c r="L97" i="23"/>
  <c r="O97" i="23"/>
  <c r="P24" i="23"/>
  <c r="O24" i="23"/>
  <c r="G71" i="23"/>
  <c r="F71" i="23" s="1"/>
  <c r="G110" i="23"/>
  <c r="T15" i="23"/>
  <c r="S15" i="23"/>
  <c r="M15" i="23"/>
  <c r="Q15" i="23"/>
  <c r="L15" i="23"/>
  <c r="O15" i="23"/>
  <c r="P15" i="23"/>
  <c r="L96" i="23"/>
  <c r="O96" i="23"/>
  <c r="N128" i="23"/>
  <c r="Q92" i="23"/>
  <c r="O92" i="23"/>
  <c r="P92" i="23"/>
  <c r="M92" i="23"/>
  <c r="L92" i="23"/>
  <c r="P77" i="23" l="1"/>
  <c r="M112" i="23"/>
  <c r="L77" i="23"/>
  <c r="O14" i="23"/>
  <c r="M14" i="23"/>
  <c r="L14" i="23"/>
  <c r="P14" i="23"/>
  <c r="Q14" i="23"/>
  <c r="S77" i="23"/>
  <c r="L112" i="23"/>
  <c r="T77" i="23"/>
  <c r="O77" i="23"/>
  <c r="T14" i="23"/>
  <c r="F51" i="23"/>
  <c r="M51" i="23" s="1"/>
  <c r="G107" i="23"/>
  <c r="F107" i="23" s="1"/>
  <c r="F110" i="23"/>
  <c r="Q112" i="23"/>
  <c r="M77" i="23"/>
  <c r="K113" i="23"/>
  <c r="K118" i="23" s="1"/>
  <c r="D79" i="23"/>
  <c r="D113" i="23"/>
  <c r="G103" i="23"/>
  <c r="F103" i="23" s="1"/>
  <c r="N103" i="23"/>
  <c r="P112" i="23"/>
  <c r="M101" i="23"/>
  <c r="P101" i="23"/>
  <c r="O101" i="23"/>
  <c r="L101" i="23"/>
  <c r="Q101" i="23"/>
  <c r="G79" i="23"/>
  <c r="F79" i="23" s="1"/>
  <c r="O75" i="23"/>
  <c r="L75" i="23"/>
  <c r="P75" i="23"/>
  <c r="M75" i="23"/>
  <c r="Q75" i="23"/>
  <c r="S75" i="23"/>
  <c r="T75" i="23"/>
  <c r="V79" i="23"/>
  <c r="O112" i="23"/>
  <c r="Q51" i="23" l="1"/>
  <c r="T51" i="23"/>
  <c r="S51" i="23"/>
  <c r="L51" i="23"/>
  <c r="O51" i="23"/>
  <c r="V49" i="23"/>
  <c r="X49" i="23" s="1"/>
  <c r="P51" i="23"/>
  <c r="D122" i="23"/>
  <c r="D116" i="23"/>
  <c r="P73" i="23"/>
  <c r="N107" i="23"/>
  <c r="O73" i="23"/>
  <c r="K122" i="23"/>
  <c r="Q103" i="23"/>
  <c r="G113" i="23"/>
  <c r="L71" i="23"/>
  <c r="T71" i="23"/>
  <c r="S71" i="23"/>
  <c r="Q71" i="23"/>
  <c r="M71" i="23"/>
  <c r="Q110" i="23"/>
  <c r="L110" i="23"/>
  <c r="M110" i="23"/>
  <c r="P110" i="23"/>
  <c r="O110" i="23"/>
  <c r="G116" i="23" l="1"/>
  <c r="F113" i="23"/>
  <c r="F116" i="23" s="1"/>
  <c r="O108" i="23"/>
  <c r="N113" i="23"/>
  <c r="P71" i="23"/>
  <c r="O71" i="23"/>
  <c r="P103" i="23"/>
  <c r="O103" i="23"/>
  <c r="E122" i="23"/>
  <c r="E124" i="23"/>
  <c r="L103" i="23"/>
  <c r="M103" i="23"/>
  <c r="O79" i="23"/>
  <c r="L79" i="23"/>
  <c r="P79" i="23"/>
  <c r="M79" i="23"/>
  <c r="Q79" i="23"/>
  <c r="T79" i="23"/>
  <c r="S79" i="23"/>
  <c r="L107" i="23"/>
  <c r="Q107" i="23"/>
  <c r="M107" i="23"/>
  <c r="P107" i="23" l="1"/>
  <c r="F122" i="23"/>
  <c r="O107" i="23"/>
  <c r="O113" i="23"/>
  <c r="Q113" i="23"/>
  <c r="M113" i="23"/>
  <c r="P113" i="23"/>
  <c r="F124" i="23"/>
  <c r="L113" i="23"/>
  <c r="T90" i="23" l="1"/>
  <c r="T82" i="23"/>
  <c r="T87" i="23"/>
  <c r="T91" i="23"/>
  <c r="T92" i="23"/>
  <c r="S92" i="23"/>
  <c r="R103" i="23"/>
  <c r="S103" i="23" s="1"/>
  <c r="S88" i="23"/>
  <c r="S87" i="23"/>
  <c r="T84" i="23"/>
  <c r="S84" i="23"/>
  <c r="S90" i="23"/>
  <c r="S82" i="23"/>
  <c r="S93" i="23"/>
  <c r="V101" i="23"/>
  <c r="T101" i="23"/>
  <c r="S99" i="23"/>
  <c r="R112" i="23"/>
  <c r="T112" i="23" s="1"/>
  <c r="S101" i="23"/>
  <c r="T81" i="23"/>
  <c r="S81" i="23"/>
  <c r="T83" i="23"/>
  <c r="S86" i="23"/>
  <c r="S98" i="23"/>
  <c r="R111" i="23"/>
  <c r="S111" i="23" s="1"/>
  <c r="S97" i="23"/>
  <c r="S96" i="23"/>
  <c r="S83" i="23"/>
  <c r="S89" i="23"/>
  <c r="S94" i="23"/>
  <c r="S91" i="23"/>
  <c r="S112" i="23" l="1"/>
  <c r="T103" i="23"/>
  <c r="T111" i="23"/>
  <c r="R110" i="23"/>
  <c r="R107" i="23" s="1"/>
  <c r="S110" i="23" l="1"/>
  <c r="T110" i="23"/>
  <c r="T107" i="23" l="1"/>
  <c r="R113" i="23"/>
  <c r="S107" i="23"/>
  <c r="S113" i="23" l="1"/>
  <c r="V113" i="23"/>
  <c r="T113" i="23"/>
</calcChain>
</file>

<file path=xl/sharedStrings.xml><?xml version="1.0" encoding="utf-8"?>
<sst xmlns="http://schemas.openxmlformats.org/spreadsheetml/2006/main" count="226" uniqueCount="210">
  <si>
    <t>№ п/п</t>
  </si>
  <si>
    <t>Найменування доходів</t>
  </si>
  <si>
    <t>Код бюджетної класифікації</t>
  </si>
  <si>
    <t>%</t>
  </si>
  <si>
    <t>1</t>
  </si>
  <si>
    <t>2</t>
  </si>
  <si>
    <t>ЗАГАЛЬНИЙ ФОНД</t>
  </si>
  <si>
    <t>Плата за землю</t>
  </si>
  <si>
    <t>Інші надходження</t>
  </si>
  <si>
    <t>СПЕЦІАЛЬНИЙ ФОНД</t>
  </si>
  <si>
    <t>Бюджет розвитку, в т.ч.</t>
  </si>
  <si>
    <t>Цільові фонди, утворені органами місцевого самоврядування</t>
  </si>
  <si>
    <t>Власні надходження бюджетних установ</t>
  </si>
  <si>
    <t>тис.грн.</t>
  </si>
  <si>
    <t>11010000</t>
  </si>
  <si>
    <t>22090000</t>
  </si>
  <si>
    <t>11020200</t>
  </si>
  <si>
    <t>21010300</t>
  </si>
  <si>
    <t>21080500</t>
  </si>
  <si>
    <t>22080400</t>
  </si>
  <si>
    <t>24060300</t>
  </si>
  <si>
    <t>25000000</t>
  </si>
  <si>
    <t>31030000</t>
  </si>
  <si>
    <t>50110000</t>
  </si>
  <si>
    <t>21081100</t>
  </si>
  <si>
    <t xml:space="preserve">24062100 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</si>
  <si>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</si>
  <si>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Офіційні трансферти, з них:</t>
  </si>
  <si>
    <t>ВСЬОГО ДОХОДІВ ЗАГАЛЬНОГО ФОНДУ</t>
  </si>
  <si>
    <t>Адміністративні штрафи та інші санкції</t>
  </si>
  <si>
    <t>19010000</t>
  </si>
  <si>
    <t>Екологічний податок</t>
  </si>
  <si>
    <t>Єдиний податок</t>
  </si>
  <si>
    <t>18050000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</si>
  <si>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</si>
  <si>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Податок на прибуток підприємств та фінансових установ комунальної власності</t>
  </si>
  <si>
    <t>Кошти від відчуження майна, що перебуває в комунальній власності</t>
  </si>
  <si>
    <t>18000000</t>
  </si>
  <si>
    <t>18030000</t>
  </si>
  <si>
    <t>Туристичний збір</t>
  </si>
  <si>
    <t>ВСЬОГО ДОХОДІВ ЗАГАЛЬНОГО ТА СПЕЦІАЛЬНОГО ФОНДІВ</t>
  </si>
  <si>
    <t>ВСЬОГО ДОХОДІВ СПЕЦІАЛЬНОГО ФОНДУ</t>
  </si>
  <si>
    <t>33010000</t>
  </si>
  <si>
    <t>18010000</t>
  </si>
  <si>
    <t>24170000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</si>
  <si>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</si>
  <si>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24062200</t>
  </si>
  <si>
    <t xml:space="preserve"> </t>
  </si>
  <si>
    <t>Власні і закіплені З Ф</t>
  </si>
  <si>
    <t>Власні і закіплені С Ф</t>
  </si>
  <si>
    <t>Вього СФ</t>
  </si>
  <si>
    <t>вик.: Серветник М.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</si>
  <si>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</si>
  <si>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Державне мито</t>
  </si>
  <si>
    <t>41033900</t>
  </si>
  <si>
    <t>14040000</t>
  </si>
  <si>
    <t>Податок на нерухоме майно, відмінне від земельної ділянки</t>
  </si>
  <si>
    <t>Транспортний податок</t>
  </si>
  <si>
    <t>Плата за надання інших адміністративних послуг</t>
  </si>
  <si>
    <t>22012500</t>
  </si>
  <si>
    <t>Надходження сум кредиторської та депонентської заборгованості</t>
  </si>
  <si>
    <t>24030000</t>
  </si>
  <si>
    <t>січень</t>
  </si>
  <si>
    <t>Податок та збір на доходи фізичних осіб</t>
  </si>
  <si>
    <t>Кошти від продажу землі</t>
  </si>
  <si>
    <t>Реверсна дотація</t>
  </si>
  <si>
    <t>21050000</t>
  </si>
  <si>
    <t>Плата за розміщення тимчасово вільних коштів місцевих бюджетів</t>
  </si>
  <si>
    <t>41034900</t>
  </si>
  <si>
    <t>Субвенції, з них: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</si>
  <si>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</si>
  <si>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</si>
  <si>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22012600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</si>
  <si>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</si>
  <si>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пов'язаних з такою державною реєстрацією</t>
  </si>
  <si>
    <t>Адміністративний збір за державну реєстрацію речових прав на нерухоме майно та їх обтяжень</t>
  </si>
  <si>
    <t>21081500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</si>
  <si>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</si>
  <si>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22010000</t>
  </si>
  <si>
    <t>Плата за надання адміністративних послуг:</t>
  </si>
  <si>
    <t>31020000</t>
  </si>
  <si>
    <t>Надходження коштів від Державного фонду дорогоцінних металів і дорогоцінного каміння</t>
  </si>
  <si>
    <t>14000000</t>
  </si>
  <si>
    <t>Внутрішні податки на товари та послуги, в тому числі: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</si>
  <si>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</t>
  </si>
  <si>
    <t>21080900</t>
  </si>
  <si>
    <t>Ірина Ларіна</t>
  </si>
  <si>
    <t>Акцизний податок з вироблених в Україні підакцизних товарів (продукції) (Пальне)</t>
  </si>
  <si>
    <t>Акцизний податок з ввезених на митну територію України підакцизних товарів (продукції) (Пальне)</t>
  </si>
  <si>
    <t>Акцизний податок з реалізації суб'єктами господарювання роздрібної торгівлі підакцизних товарів</t>
  </si>
  <si>
    <t>22130000</t>
  </si>
  <si>
    <t>Орендна плата за водні об'єкти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</si>
  <si>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з них: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</si>
  <si>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</si>
  <si>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13010200</t>
  </si>
  <si>
    <t>- з місцевого бюджету (ККД 41050000)</t>
  </si>
  <si>
    <t>-з державного бюджету (ККД 41030000)</t>
  </si>
  <si>
    <t>13030100</t>
  </si>
  <si>
    <t>Рентна плата та плата за використання інших природних ресурсів</t>
  </si>
  <si>
    <t>13000000</t>
  </si>
  <si>
    <t>3.1.</t>
  </si>
  <si>
    <t>3.2.</t>
  </si>
  <si>
    <t>3.3.</t>
  </si>
  <si>
    <t>21081700</t>
  </si>
  <si>
    <t>41053900</t>
  </si>
  <si>
    <t>Дотації з місцевих бюджетів іншим місцевим бюджетам</t>
  </si>
  <si>
    <t xml:space="preserve">Надходження від плати за послуги, що надаються бюджетними установами згідно із законодавством </t>
  </si>
  <si>
    <t>25010000</t>
  </si>
  <si>
    <t xml:space="preserve">Інші джерела власних надходжень бюджетних установ  </t>
  </si>
  <si>
    <t>25020000</t>
  </si>
  <si>
    <t>1.1.</t>
  </si>
  <si>
    <t>1.2.</t>
  </si>
  <si>
    <t>41051000</t>
  </si>
  <si>
    <t>4.1.</t>
  </si>
  <si>
    <t>4.2.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</si>
  <si>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</si>
  <si>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</si>
  <si>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13040100</t>
  </si>
  <si>
    <t xml:space="preserve">Рентна плата за користування надрами для видобування корисних копалин місцевого значення </t>
  </si>
  <si>
    <t xml:space="preserve">Рентна плата за користування надрами для видобування інших корисних копалин загальнодержавного значення </t>
  </si>
  <si>
    <t>ВСЬОГО ДОХОДІВ ЗАГАЛЬНОГО 
ТА СПЕЦІАЛЬНОГО ФОНДІВ</t>
  </si>
  <si>
    <t xml:space="preserve">Рентна плата за спеціальне використання лісових ресурсів в частині деревини, заготовленої в порядку рубок головного користування </t>
  </si>
  <si>
    <t>13010100</t>
  </si>
  <si>
    <t>3.4.</t>
  </si>
  <si>
    <t>Кошти гарантійного та реєстраційного внесків, що визначені Законом України 'Про оренду державного та комунального майна', які підлягають перерахуванню оператором електронного майданчика до відповідного бюджету</t>
  </si>
  <si>
    <t>21082400</t>
  </si>
  <si>
    <t>Надходження коштів пайової участі у розвитку інфраструктури населеного пункту</t>
  </si>
  <si>
    <t>Місцеві податки та збори, що сплачуються (перераховуються) згідно з Податковим кодексом України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</si>
  <si>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</si>
  <si>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суб’єктами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</si>
  <si>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 xml:space="preserve">Місцеві податки, нараховані до 1 січня 2011 року   </t>
  </si>
  <si>
    <t>16012200</t>
  </si>
  <si>
    <t>21081800</t>
  </si>
  <si>
    <t xml:space="preserve">Адміністративні штрафи за адміністративні правопорушення у сфері забезпечення безпеки дорожнього руху, зафіксовані в автоматичному режимі </t>
  </si>
  <si>
    <t xml:space="preserve">Дотації з державного бюджету місцевим бюджетам </t>
  </si>
  <si>
    <t>Освітня субвенція з державного бюджету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</si>
  <si>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</si>
  <si>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Інші субвенції з місцевого бюджету</t>
  </si>
  <si>
    <t>* на відшкодування витрат на поховання учасників бойових дій та осіб з інвалідністю внаслідок війни</t>
  </si>
  <si>
    <t>* на пільгове медичне обслуговування  громадян, які постраждали внаслідок Чорнобильської катастрофи</t>
  </si>
  <si>
    <t>* на компенсаційні виплати особам з інвалідністю на бензин (пальне), ремонт, техобслуговування автотранспорту та на транспортне обслуговування, встановлення телефонів особам з інвалідністю І та ІІ груп</t>
  </si>
  <si>
    <t>Субвенція з державного бюджету місцевим бюджетам на реформуваннярегіональних систем охорони здоров’я для здійснення заходів з виконання спільного з Міжнародним банком реконструкції та розвитку проекту «Поліпшення охорони здоров’я на службі у людей»</t>
  </si>
  <si>
    <t>4.1.1.</t>
  </si>
  <si>
    <t>4.1.2.</t>
  </si>
  <si>
    <t>4.2.1.</t>
  </si>
  <si>
    <t>4.2.2.</t>
  </si>
  <si>
    <t>Акцизний податок з вироблених та ввезених в Україну підакцизних товарів (продукції) (Пальне), в тому числі:</t>
  </si>
  <si>
    <t>Всього власних доходів спеціального фонду</t>
  </si>
  <si>
    <t>Всього власних доходів загального фонду</t>
  </si>
  <si>
    <t>Власні доходи</t>
  </si>
  <si>
    <t>Заступник директора департаменту - 
начальник відділу доходів бюджету</t>
  </si>
  <si>
    <t>* субвенція з бюджету Вороновицької селищної територіальної громади на надання послуг комунальною установою "Центр професійного розвитку педагогічних працівників Вінницької міської ради"</t>
  </si>
  <si>
    <t xml:space="preserve">
14021900
14031900</t>
  </si>
  <si>
    <t>Надходження в рамках програм допомоги урядів іноземних держав, міжнародних організацій, донорських установ</t>
  </si>
  <si>
    <t>42030300</t>
  </si>
  <si>
    <t>5.1.</t>
  </si>
  <si>
    <t>5.2.</t>
  </si>
  <si>
    <t>5.3.</t>
  </si>
  <si>
    <t>5.4.</t>
  </si>
  <si>
    <t>5.5.</t>
  </si>
  <si>
    <t>15.1.</t>
  </si>
  <si>
    <t>15.2.</t>
  </si>
  <si>
    <t>15.3.</t>
  </si>
  <si>
    <t>15.4.</t>
  </si>
  <si>
    <t>Плата за ліцензії на провадження діяльності з організації та проведення азартних ігор у залах гральних автоматів</t>
  </si>
  <si>
    <t>22020400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</si>
  <si>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</si>
  <si>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</si>
  <si>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41036300</t>
  </si>
  <si>
    <t xml:space="preserve"> Субвенція з державного бюджету місцевим бюджетам на здійснення доплат педагогічним працівникам закладів загальної середньої освіти</t>
  </si>
  <si>
    <t>* з бюджету Якушинецької сільської територіальної громади на надання освітніх послуг дітям з особливими освітніми потребами, зумовленими стійкими інтелектуальними порушеннями у комунальному закладі "Вінницька спеціальна школа для дітей з порушеннями інтелектуального розвитку"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</si>
  <si>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</si>
  <si>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</si>
  <si>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агресією Російської Федерації</t>
  </si>
  <si>
    <t>41021400</t>
  </si>
  <si>
    <t>Субвенція  з  державного  бюджету  місцевим  бюджетам на забезпечення харчуванням учнів закладів загальної середньої освіти</t>
  </si>
  <si>
    <t>41031100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</si>
  <si>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</si>
  <si>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41059300</t>
  </si>
  <si>
    <t>Бюджет 
на 2026 рік</t>
  </si>
  <si>
    <t>Уточнений бюджет на 2026 рік</t>
  </si>
  <si>
    <t>Відхилення факту  2026р. від факту 2025р.</t>
  </si>
  <si>
    <t>лютий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</si>
  <si>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</si>
  <si>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*субвенція з обласного бюджету на компенсаційні виплати за пільговий проїзд окремих категорій громадян на міжміських внутрішньообласних маршрутах загального користування</t>
  </si>
  <si>
    <t>березень</t>
  </si>
  <si>
    <t>Інші дотації з місцевого бюджету</t>
  </si>
  <si>
    <t>41040400</t>
  </si>
  <si>
    <t>Надходження коштів від відшкодування втрат сільськогосподарського і лісогосподарського виробництва</t>
  </si>
  <si>
    <t>квітень</t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</si>
  <si>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</si>
  <si>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>41057700</t>
  </si>
  <si>
    <t>Надійшло за січень - квітень 2026р.</t>
  </si>
  <si>
    <t>План на січень - квітень 2026 року</t>
  </si>
  <si>
    <t>Відхилення надходжень до плану на січень - квітень 2026 року</t>
  </si>
  <si>
    <t>План на січень - квітень 2025р. (розрахунковий)</t>
  </si>
  <si>
    <t xml:space="preserve">Відхилення надходжень до плану на січень - квітень 2025 року (розрахунковий) </t>
  </si>
  <si>
    <t>Надійшло за січень - квітень 2025р.</t>
  </si>
  <si>
    <t>% виконання до бюджету на 2025р. (норма 33,3%)</t>
  </si>
  <si>
    <t>41033500</t>
  </si>
  <si>
    <t>Субвенція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військово-фізичною підготовкою</t>
  </si>
  <si>
    <t>41032800</t>
  </si>
  <si>
    <t>Субвенція з державного бюджету місцевим бюджетам на реалізацію публічного інвестиційного проекту на облаштування безпечних умов (облаштування укриттів) у закладах, що надають загальну середню освіту, зокрема військових (військово-морських, військово-спортивних) ліцеях, ліцеях із посиленою військово-фізичною підготовкою, та у закладах дошкільної освіти</t>
  </si>
  <si>
    <t>13.1.</t>
  </si>
  <si>
    <t>13.2.</t>
  </si>
  <si>
    <t>13.3.</t>
  </si>
  <si>
    <t>13.4.</t>
  </si>
  <si>
    <t>13.5.</t>
  </si>
  <si>
    <t>13.6.</t>
  </si>
  <si>
    <t>Аналіз виконання бюджету Вінницької міської територіальної громади за січень - квітень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</si>
</sst>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0.000"/>
    <numFmt numFmtId="166" formatCode="#,##0.000"/>
    <numFmt numFmtId="167" formatCode="#,##0.0"/>
  </numFmts>
  <fonts count="50" x14ac:knownFonts="1">
    <font>
      <sz val="10"/>
      <name val="Arial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charset val="204"/>
    </font>
    <font>
      <i/>
      <sz val="12"/>
      <name val="Times New Roman Cyr"/>
      <charset val="204"/>
    </font>
    <font>
      <sz val="14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i/>
      <sz val="16"/>
      <name val="Times New Roman Cyr"/>
      <charset val="204"/>
    </font>
    <font>
      <sz val="16"/>
      <name val="Times New Roman"/>
      <family val="1"/>
      <charset val="204"/>
    </font>
    <font>
      <b/>
      <sz val="24"/>
      <name val="Times New Roman Cyr"/>
      <family val="1"/>
      <charset val="204"/>
    </font>
    <font>
      <b/>
      <sz val="24"/>
      <name val="Times New Roman Cyr"/>
      <charset val="204"/>
    </font>
    <font>
      <sz val="24"/>
      <name val="Times New Roman Cyr"/>
      <charset val="204"/>
    </font>
    <font>
      <sz val="11"/>
      <name val="Times New Roman Cyr"/>
      <charset val="204"/>
    </font>
    <font>
      <b/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2"/>
      <name val="Times New Roman Cyr"/>
      <charset val="204"/>
    </font>
    <font>
      <i/>
      <sz val="16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 Cyr"/>
      <charset val="204"/>
    </font>
    <font>
      <b/>
      <sz val="18"/>
      <name val="Times New Roman"/>
      <family val="1"/>
      <charset val="204"/>
    </font>
    <font>
      <b/>
      <sz val="18"/>
      <name val="Times New Roman Cyr"/>
      <family val="1"/>
      <charset val="204"/>
    </font>
    <font>
      <sz val="10"/>
      <name val="Arial"/>
      <family val="2"/>
      <charset val="204"/>
    </font>
    <font>
      <sz val="15"/>
      <name val="Times New Roman Cyr"/>
      <charset val="204"/>
    </font>
    <font>
      <b/>
      <i/>
      <sz val="18"/>
      <name val="Times New Roman"/>
      <family val="1"/>
      <charset val="204"/>
    </font>
    <font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i/>
      <sz val="15"/>
      <name val="Times New Roman Cyr"/>
      <charset val="204"/>
    </font>
    <font>
      <b/>
      <sz val="19"/>
      <name val="Times New Roman Cyr"/>
      <charset val="204"/>
    </font>
    <font>
      <b/>
      <sz val="19"/>
      <name val="Times New Roman"/>
      <family val="1"/>
      <charset val="204"/>
    </font>
    <font>
      <i/>
      <sz val="18"/>
      <name val="Times New Roman Cyr"/>
      <charset val="204"/>
    </font>
    <font>
      <sz val="14"/>
      <name val="Times New Roman Cyr"/>
      <charset val="204"/>
    </font>
    <font>
      <i/>
      <sz val="14"/>
      <name val="Times New Roman Cyr"/>
      <charset val="204"/>
    </font>
    <font>
      <sz val="13.5"/>
      <name val="Times New Roman"/>
      <family val="1"/>
      <charset val="204"/>
    </font>
    <font>
      <sz val="13.5"/>
      <name val="Times New Roman Cyr"/>
      <charset val="204"/>
    </font>
    <font>
      <i/>
      <sz val="13.5"/>
      <name val="Times New Roman Cyr"/>
      <charset val="204"/>
    </font>
    <font>
      <i/>
      <sz val="14"/>
      <name val="Times New Roman"/>
      <family val="1"/>
      <charset val="204"/>
    </font>
    <font>
      <b/>
      <i/>
      <sz val="18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34" fillId="0" borderId="0"/>
  </cellStyleXfs>
  <cellXfs count="186">
    <xf numFmtId="0" fontId="0" fillId="0" borderId="0" xfId="0"/>
    <xf numFmtId="0" fontId="2" fillId="0" borderId="0" xfId="2" applyFont="1" applyFill="1" applyBorder="1" applyAlignment="1">
      <alignment horizontal="center" vertical="center" wrapText="1"/>
    </xf>
    <xf numFmtId="0" fontId="4" fillId="0" borderId="0" xfId="2" applyFont="1" applyFill="1" applyBorder="1"/>
    <xf numFmtId="0" fontId="2" fillId="0" borderId="0" xfId="2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center" vertical="center" wrapText="1"/>
    </xf>
    <xf numFmtId="49" fontId="6" fillId="0" borderId="0" xfId="1" applyNumberFormat="1" applyFont="1" applyFill="1" applyBorder="1" applyAlignment="1">
      <alignment horizontal="center" vertical="center"/>
    </xf>
    <xf numFmtId="0" fontId="6" fillId="0" borderId="0" xfId="1" applyFont="1" applyFill="1" applyBorder="1"/>
    <xf numFmtId="165" fontId="20" fillId="0" borderId="1" xfId="1" applyNumberFormat="1" applyFont="1" applyFill="1" applyBorder="1" applyAlignment="1">
      <alignment horizontal="center" vertical="center" wrapText="1"/>
    </xf>
    <xf numFmtId="0" fontId="4" fillId="0" borderId="0" xfId="1" applyFont="1" applyFill="1" applyBorder="1"/>
    <xf numFmtId="49" fontId="21" fillId="0" borderId="1" xfId="1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0" fontId="5" fillId="0" borderId="0" xfId="1" applyFont="1" applyFill="1" applyBorder="1"/>
    <xf numFmtId="0" fontId="14" fillId="0" borderId="1" xfId="1" applyFont="1" applyFill="1" applyBorder="1" applyAlignment="1">
      <alignment horizontal="center" vertical="center"/>
    </xf>
    <xf numFmtId="0" fontId="9" fillId="0" borderId="0" xfId="1" applyFont="1" applyFill="1" applyBorder="1"/>
    <xf numFmtId="0" fontId="23" fillId="0" borderId="1" xfId="1" applyFont="1" applyFill="1" applyBorder="1" applyAlignment="1">
      <alignment horizontal="left" vertical="center" wrapText="1"/>
    </xf>
    <xf numFmtId="49" fontId="22" fillId="0" borderId="1" xfId="1" applyNumberFormat="1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/>
    </xf>
    <xf numFmtId="0" fontId="18" fillId="0" borderId="0" xfId="2" applyFont="1" applyFill="1"/>
    <xf numFmtId="0" fontId="2" fillId="0" borderId="0" xfId="2" applyFont="1" applyFill="1"/>
    <xf numFmtId="0" fontId="18" fillId="0" borderId="0" xfId="2" applyFont="1" applyFill="1" applyBorder="1"/>
    <xf numFmtId="0" fontId="17" fillId="0" borderId="0" xfId="2" applyFont="1" applyFill="1"/>
    <xf numFmtId="0" fontId="3" fillId="0" borderId="0" xfId="2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 wrapText="1"/>
    </xf>
    <xf numFmtId="49" fontId="20" fillId="0" borderId="1" xfId="1" applyNumberFormat="1" applyFont="1" applyFill="1" applyBorder="1" applyAlignment="1">
      <alignment horizontal="center" vertical="center" wrapText="1"/>
    </xf>
    <xf numFmtId="0" fontId="26" fillId="0" borderId="0" xfId="1" applyFont="1" applyFill="1" applyBorder="1"/>
    <xf numFmtId="0" fontId="7" fillId="0" borderId="0" xfId="2" applyFont="1" applyFill="1"/>
    <xf numFmtId="0" fontId="4" fillId="0" borderId="0" xfId="2" applyFont="1" applyFill="1"/>
    <xf numFmtId="0" fontId="19" fillId="0" borderId="0" xfId="2" applyFont="1" applyFill="1"/>
    <xf numFmtId="0" fontId="12" fillId="0" borderId="0" xfId="1" applyFont="1" applyFill="1" applyBorder="1"/>
    <xf numFmtId="49" fontId="13" fillId="0" borderId="1" xfId="2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27" fillId="0" borderId="1" xfId="1" applyFont="1" applyFill="1" applyBorder="1" applyAlignment="1">
      <alignment horizontal="center" vertical="center"/>
    </xf>
    <xf numFmtId="0" fontId="28" fillId="0" borderId="0" xfId="1" applyFont="1" applyFill="1" applyBorder="1"/>
    <xf numFmtId="166" fontId="4" fillId="0" borderId="0" xfId="1" applyNumberFormat="1" applyFont="1" applyFill="1" applyBorder="1"/>
    <xf numFmtId="49" fontId="25" fillId="0" borderId="1" xfId="1" applyNumberFormat="1" applyFont="1" applyFill="1" applyBorder="1" applyAlignment="1">
      <alignment horizontal="left" vertical="center" wrapText="1"/>
    </xf>
    <xf numFmtId="164" fontId="4" fillId="0" borderId="0" xfId="1" applyNumberFormat="1" applyFont="1" applyFill="1" applyBorder="1"/>
    <xf numFmtId="0" fontId="31" fillId="2" borderId="1" xfId="1" applyFont="1" applyFill="1" applyBorder="1" applyAlignment="1">
      <alignment horizontal="center" vertical="center"/>
    </xf>
    <xf numFmtId="2" fontId="32" fillId="2" borderId="1" xfId="1" applyNumberFormat="1" applyFont="1" applyFill="1" applyBorder="1" applyAlignment="1">
      <alignment horizontal="center" vertical="center" wrapText="1"/>
    </xf>
    <xf numFmtId="0" fontId="31" fillId="2" borderId="0" xfId="1" applyFont="1" applyFill="1" applyBorder="1"/>
    <xf numFmtId="0" fontId="32" fillId="2" borderId="1" xfId="1" applyFont="1" applyFill="1" applyBorder="1" applyAlignment="1">
      <alignment horizontal="center" vertical="center" wrapText="1"/>
    </xf>
    <xf numFmtId="0" fontId="33" fillId="2" borderId="1" xfId="1" applyFont="1" applyFill="1" applyBorder="1" applyAlignment="1">
      <alignment horizontal="center" vertical="center"/>
    </xf>
    <xf numFmtId="49" fontId="32" fillId="2" borderId="1" xfId="1" applyNumberFormat="1" applyFont="1" applyFill="1" applyBorder="1" applyAlignment="1">
      <alignment horizontal="center" vertical="center" wrapText="1"/>
    </xf>
    <xf numFmtId="0" fontId="33" fillId="2" borderId="0" xfId="1" applyFont="1" applyFill="1" applyBorder="1"/>
    <xf numFmtId="49" fontId="32" fillId="0" borderId="1" xfId="1" applyNumberFormat="1" applyFont="1" applyFill="1" applyBorder="1" applyAlignment="1">
      <alignment horizontal="center" vertical="center" wrapText="1"/>
    </xf>
    <xf numFmtId="0" fontId="31" fillId="0" borderId="0" xfId="1" applyFont="1" applyFill="1" applyBorder="1"/>
    <xf numFmtId="0" fontId="32" fillId="0" borderId="1" xfId="1" applyFont="1" applyFill="1" applyBorder="1" applyAlignment="1">
      <alignment horizontal="center" vertical="center" wrapText="1"/>
    </xf>
    <xf numFmtId="0" fontId="24" fillId="0" borderId="1" xfId="1" applyFont="1" applyFill="1" applyBorder="1" applyAlignment="1">
      <alignment horizontal="left" vertical="center" wrapText="1"/>
    </xf>
    <xf numFmtId="0" fontId="11" fillId="0" borderId="0" xfId="1" applyFont="1" applyFill="1" applyBorder="1"/>
    <xf numFmtId="166" fontId="12" fillId="0" borderId="0" xfId="1" applyNumberFormat="1" applyFont="1" applyFill="1" applyBorder="1"/>
    <xf numFmtId="0" fontId="14" fillId="0" borderId="0" xfId="1" applyFont="1" applyFill="1" applyBorder="1"/>
    <xf numFmtId="0" fontId="27" fillId="0" borderId="0" xfId="1" applyFont="1" applyFill="1" applyBorder="1"/>
    <xf numFmtId="49" fontId="14" fillId="0" borderId="1" xfId="2" applyNumberFormat="1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wrapText="1"/>
    </xf>
    <xf numFmtId="1" fontId="11" fillId="0" borderId="1" xfId="3" applyNumberFormat="1" applyFont="1" applyFill="1" applyBorder="1" applyAlignment="1">
      <alignment horizontal="center" vertical="center" wrapText="1"/>
    </xf>
    <xf numFmtId="1" fontId="15" fillId="0" borderId="1" xfId="3" applyNumberFormat="1" applyFont="1" applyFill="1" applyBorder="1" applyAlignment="1">
      <alignment horizontal="center" vertical="center" wrapText="1"/>
    </xf>
    <xf numFmtId="1" fontId="2" fillId="0" borderId="0" xfId="3" applyNumberFormat="1" applyFont="1" applyFill="1" applyBorder="1" applyAlignment="1">
      <alignment horizontal="center" vertical="center" wrapText="1"/>
    </xf>
    <xf numFmtId="1" fontId="2" fillId="0" borderId="0" xfId="3" applyNumberFormat="1" applyFont="1" applyFill="1" applyBorder="1"/>
    <xf numFmtId="0" fontId="2" fillId="0" borderId="0" xfId="3" applyFont="1" applyFill="1" applyBorder="1"/>
    <xf numFmtId="166" fontId="4" fillId="0" borderId="0" xfId="3" applyNumberFormat="1" applyFont="1" applyFill="1" applyBorder="1"/>
    <xf numFmtId="164" fontId="4" fillId="0" borderId="0" xfId="3" applyNumberFormat="1" applyFont="1" applyFill="1" applyBorder="1"/>
    <xf numFmtId="0" fontId="27" fillId="0" borderId="1" xfId="3" applyFont="1" applyFill="1" applyBorder="1" applyAlignment="1">
      <alignment horizontal="center" vertical="center"/>
    </xf>
    <xf numFmtId="166" fontId="28" fillId="0" borderId="0" xfId="3" applyNumberFormat="1" applyFont="1" applyFill="1" applyBorder="1"/>
    <xf numFmtId="164" fontId="28" fillId="0" borderId="0" xfId="3" applyNumberFormat="1" applyFont="1" applyFill="1" applyBorder="1"/>
    <xf numFmtId="0" fontId="28" fillId="0" borderId="0" xfId="3" applyFont="1" applyFill="1" applyBorder="1"/>
    <xf numFmtId="166" fontId="32" fillId="2" borderId="1" xfId="3" applyNumberFormat="1" applyFont="1" applyFill="1" applyBorder="1" applyAlignment="1">
      <alignment horizontal="center" vertical="center"/>
    </xf>
    <xf numFmtId="164" fontId="32" fillId="2" borderId="1" xfId="3" applyNumberFormat="1" applyFont="1" applyFill="1" applyBorder="1" applyAlignment="1">
      <alignment horizontal="center" vertical="center"/>
    </xf>
    <xf numFmtId="0" fontId="31" fillId="2" borderId="0" xfId="3" applyFont="1" applyFill="1" applyBorder="1"/>
    <xf numFmtId="166" fontId="31" fillId="2" borderId="0" xfId="3" applyNumberFormat="1" applyFont="1" applyFill="1" applyBorder="1"/>
    <xf numFmtId="166" fontId="32" fillId="0" borderId="1" xfId="3" applyNumberFormat="1" applyFont="1" applyFill="1" applyBorder="1" applyAlignment="1">
      <alignment horizontal="center" vertical="center"/>
    </xf>
    <xf numFmtId="164" fontId="32" fillId="0" borderId="1" xfId="3" applyNumberFormat="1" applyFont="1" applyFill="1" applyBorder="1" applyAlignment="1">
      <alignment horizontal="center" vertical="center"/>
    </xf>
    <xf numFmtId="166" fontId="20" fillId="0" borderId="0" xfId="3" applyNumberFormat="1" applyFont="1" applyFill="1" applyBorder="1" applyAlignment="1">
      <alignment horizontal="center" vertical="center"/>
    </xf>
    <xf numFmtId="164" fontId="20" fillId="0" borderId="0" xfId="3" applyNumberFormat="1" applyFont="1" applyFill="1" applyBorder="1" applyAlignment="1">
      <alignment horizontal="center" vertical="center"/>
    </xf>
    <xf numFmtId="165" fontId="6" fillId="0" borderId="0" xfId="3" applyNumberFormat="1" applyFont="1" applyFill="1" applyBorder="1" applyAlignment="1">
      <alignment horizontal="center" vertical="center"/>
    </xf>
    <xf numFmtId="164" fontId="6" fillId="0" borderId="0" xfId="3" applyNumberFormat="1" applyFont="1" applyFill="1" applyBorder="1" applyAlignment="1">
      <alignment horizontal="center" vertical="center"/>
    </xf>
    <xf numFmtId="166" fontId="3" fillId="0" borderId="0" xfId="2" applyNumberFormat="1" applyFont="1" applyFill="1" applyBorder="1" applyAlignment="1">
      <alignment horizontal="center"/>
    </xf>
    <xf numFmtId="49" fontId="35" fillId="0" borderId="1" xfId="2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left" vertical="center" wrapText="1"/>
    </xf>
    <xf numFmtId="166" fontId="36" fillId="0" borderId="1" xfId="3" applyNumberFormat="1" applyFont="1" applyFill="1" applyBorder="1" applyAlignment="1">
      <alignment horizontal="center" vertical="center" wrapText="1"/>
    </xf>
    <xf numFmtId="0" fontId="26" fillId="0" borderId="0" xfId="3" applyFont="1" applyFill="1" applyBorder="1"/>
    <xf numFmtId="14" fontId="27" fillId="0" borderId="1" xfId="3" applyNumberFormat="1" applyFont="1" applyFill="1" applyBorder="1" applyAlignment="1">
      <alignment horizontal="center" vertical="center"/>
    </xf>
    <xf numFmtId="0" fontId="6" fillId="0" borderId="0" xfId="3" applyFont="1" applyFill="1" applyBorder="1"/>
    <xf numFmtId="166" fontId="6" fillId="0" borderId="0" xfId="3" applyNumberFormat="1" applyFont="1" applyFill="1" applyBorder="1"/>
    <xf numFmtId="164" fontId="6" fillId="0" borderId="0" xfId="3" applyNumberFormat="1" applyFont="1" applyFill="1" applyBorder="1"/>
    <xf numFmtId="49" fontId="22" fillId="0" borderId="1" xfId="3" applyNumberFormat="1" applyFont="1" applyFill="1" applyBorder="1" applyAlignment="1">
      <alignment horizontal="center" vertical="center" shrinkToFit="1"/>
    </xf>
    <xf numFmtId="0" fontId="6" fillId="0" borderId="0" xfId="3" applyFont="1" applyFill="1" applyBorder="1" applyAlignment="1">
      <alignment horizontal="center"/>
    </xf>
    <xf numFmtId="166" fontId="30" fillId="0" borderId="1" xfId="1" applyNumberFormat="1" applyFont="1" applyFill="1" applyBorder="1" applyAlignment="1">
      <alignment horizontal="center" vertical="center" wrapText="1"/>
    </xf>
    <xf numFmtId="166" fontId="30" fillId="0" borderId="0" xfId="1" applyNumberFormat="1" applyFont="1" applyFill="1" applyBorder="1" applyAlignment="1">
      <alignment horizontal="center" vertical="center" wrapText="1"/>
    </xf>
    <xf numFmtId="49" fontId="24" fillId="0" borderId="1" xfId="1" applyNumberFormat="1" applyFont="1" applyFill="1" applyBorder="1" applyAlignment="1">
      <alignment horizontal="left" vertical="center" wrapText="1"/>
    </xf>
    <xf numFmtId="166" fontId="38" fillId="0" borderId="1" xfId="3" applyNumberFormat="1" applyFont="1" applyFill="1" applyBorder="1" applyAlignment="1">
      <alignment horizontal="center" vertical="center"/>
    </xf>
    <xf numFmtId="164" fontId="38" fillId="0" borderId="1" xfId="3" applyNumberFormat="1" applyFont="1" applyFill="1" applyBorder="1" applyAlignment="1">
      <alignment horizontal="center" vertical="center"/>
    </xf>
    <xf numFmtId="167" fontId="37" fillId="0" borderId="1" xfId="1" applyNumberFormat="1" applyFont="1" applyFill="1" applyBorder="1" applyAlignment="1">
      <alignment horizontal="center" vertical="center" wrapText="1"/>
    </xf>
    <xf numFmtId="166" fontId="32" fillId="0" borderId="0" xfId="1" applyNumberFormat="1" applyFont="1" applyFill="1" applyBorder="1" applyAlignment="1">
      <alignment horizontal="center" vertical="center" wrapText="1"/>
    </xf>
    <xf numFmtId="0" fontId="29" fillId="0" borderId="0" xfId="3" applyFont="1" applyFill="1" applyBorder="1"/>
    <xf numFmtId="49" fontId="11" fillId="0" borderId="1" xfId="3" applyNumberFormat="1" applyFont="1" applyFill="1" applyBorder="1" applyAlignment="1">
      <alignment horizontal="center" vertical="center" wrapText="1" shrinkToFit="1"/>
    </xf>
    <xf numFmtId="166" fontId="26" fillId="0" borderId="0" xfId="3" applyNumberFormat="1" applyFont="1" applyFill="1" applyBorder="1"/>
    <xf numFmtId="0" fontId="40" fillId="2" borderId="1" xfId="1" applyFont="1" applyFill="1" applyBorder="1" applyAlignment="1">
      <alignment horizontal="center" vertical="center"/>
    </xf>
    <xf numFmtId="0" fontId="41" fillId="2" borderId="1" xfId="1" applyFont="1" applyFill="1" applyBorder="1" applyAlignment="1">
      <alignment horizontal="center" vertical="center" wrapText="1"/>
    </xf>
    <xf numFmtId="165" fontId="41" fillId="2" borderId="1" xfId="1" applyNumberFormat="1" applyFont="1" applyFill="1" applyBorder="1" applyAlignment="1">
      <alignment horizontal="center" vertical="center" wrapText="1"/>
    </xf>
    <xf numFmtId="166" fontId="41" fillId="2" borderId="1" xfId="3" applyNumberFormat="1" applyFont="1" applyFill="1" applyBorder="1" applyAlignment="1">
      <alignment horizontal="center" vertical="center"/>
    </xf>
    <xf numFmtId="164" fontId="41" fillId="2" borderId="1" xfId="3" applyNumberFormat="1" applyFont="1" applyFill="1" applyBorder="1" applyAlignment="1">
      <alignment horizontal="center" vertical="center"/>
    </xf>
    <xf numFmtId="166" fontId="40" fillId="2" borderId="0" xfId="1" applyNumberFormat="1" applyFont="1" applyFill="1" applyBorder="1"/>
    <xf numFmtId="0" fontId="40" fillId="2" borderId="0" xfId="1" applyFont="1" applyFill="1" applyBorder="1"/>
    <xf numFmtId="49" fontId="41" fillId="2" borderId="1" xfId="1" applyNumberFormat="1" applyFont="1" applyFill="1" applyBorder="1" applyAlignment="1">
      <alignment horizontal="center" vertical="center" wrapText="1"/>
    </xf>
    <xf numFmtId="0" fontId="40" fillId="2" borderId="1" xfId="1" applyFont="1" applyFill="1" applyBorder="1" applyAlignment="1">
      <alignment vertical="center"/>
    </xf>
    <xf numFmtId="49" fontId="31" fillId="0" borderId="1" xfId="1" applyNumberFormat="1" applyFont="1" applyFill="1" applyBorder="1" applyAlignment="1">
      <alignment horizontal="center" vertical="center"/>
    </xf>
    <xf numFmtId="49" fontId="42" fillId="0" borderId="1" xfId="1" applyNumberFormat="1" applyFont="1" applyFill="1" applyBorder="1" applyAlignment="1">
      <alignment horizontal="center" vertical="center"/>
    </xf>
    <xf numFmtId="49" fontId="38" fillId="0" borderId="1" xfId="1" applyNumberFormat="1" applyFont="1" applyFill="1" applyBorder="1" applyAlignment="1">
      <alignment horizontal="center" vertical="center" wrapText="1"/>
    </xf>
    <xf numFmtId="0" fontId="42" fillId="0" borderId="0" xfId="1" applyFont="1" applyFill="1" applyBorder="1"/>
    <xf numFmtId="0" fontId="21" fillId="0" borderId="1" xfId="1" applyFont="1" applyFill="1" applyBorder="1" applyAlignment="1">
      <alignment horizontal="center" vertical="center" wrapText="1"/>
    </xf>
    <xf numFmtId="49" fontId="25" fillId="0" borderId="1" xfId="1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vertical="center"/>
    </xf>
    <xf numFmtId="0" fontId="23" fillId="0" borderId="1" xfId="1" applyFont="1" applyFill="1" applyBorder="1" applyAlignment="1">
      <alignment horizontal="center" vertical="center" wrapText="1"/>
    </xf>
    <xf numFmtId="167" fontId="32" fillId="0" borderId="1" xfId="1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/>
    </xf>
    <xf numFmtId="167" fontId="38" fillId="0" borderId="1" xfId="3" applyNumberFormat="1" applyFont="1" applyFill="1" applyBorder="1" applyAlignment="1">
      <alignment horizontal="center" vertical="center" wrapText="1"/>
    </xf>
    <xf numFmtId="167" fontId="32" fillId="2" borderId="1" xfId="3" applyNumberFormat="1" applyFont="1" applyFill="1" applyBorder="1" applyAlignment="1">
      <alignment horizontal="center" vertical="center" wrapText="1"/>
    </xf>
    <xf numFmtId="167" fontId="32" fillId="2" borderId="1" xfId="1" applyNumberFormat="1" applyFont="1" applyFill="1" applyBorder="1" applyAlignment="1">
      <alignment horizontal="center" vertical="center" wrapText="1"/>
    </xf>
    <xf numFmtId="167" fontId="36" fillId="0" borderId="1" xfId="1" applyNumberFormat="1" applyFont="1" applyFill="1" applyBorder="1" applyAlignment="1">
      <alignment horizontal="center" vertical="center" wrapText="1"/>
    </xf>
    <xf numFmtId="167" fontId="38" fillId="0" borderId="1" xfId="1" applyNumberFormat="1" applyFont="1" applyFill="1" applyBorder="1" applyAlignment="1">
      <alignment horizontal="center" vertical="center" wrapText="1"/>
    </xf>
    <xf numFmtId="167" fontId="41" fillId="2" borderId="1" xfId="1" applyNumberFormat="1" applyFont="1" applyFill="1" applyBorder="1" applyAlignment="1">
      <alignment horizontal="center" vertical="center" wrapText="1"/>
    </xf>
    <xf numFmtId="166" fontId="32" fillId="2" borderId="1" xfId="1" applyNumberFormat="1" applyFont="1" applyFill="1" applyBorder="1" applyAlignment="1">
      <alignment horizontal="center" vertical="center" wrapText="1"/>
    </xf>
    <xf numFmtId="166" fontId="32" fillId="0" borderId="1" xfId="1" applyNumberFormat="1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/>
    </xf>
    <xf numFmtId="49" fontId="15" fillId="0" borderId="1" xfId="3" applyNumberFormat="1" applyFont="1" applyFill="1" applyBorder="1" applyAlignment="1">
      <alignment horizontal="center" vertical="center" wrapText="1"/>
    </xf>
    <xf numFmtId="0" fontId="4" fillId="0" borderId="0" xfId="3" applyFont="1" applyFill="1" applyBorder="1"/>
    <xf numFmtId="166" fontId="37" fillId="0" borderId="1" xfId="3" applyNumberFormat="1" applyFont="1" applyFill="1" applyBorder="1" applyAlignment="1">
      <alignment horizontal="center" vertical="center" wrapText="1"/>
    </xf>
    <xf numFmtId="166" fontId="37" fillId="0" borderId="1" xfId="3" applyNumberFormat="1" applyFont="1" applyFill="1" applyBorder="1" applyAlignment="1">
      <alignment horizontal="center" vertical="center"/>
    </xf>
    <xf numFmtId="164" fontId="37" fillId="0" borderId="1" xfId="3" applyNumberFormat="1" applyFont="1" applyFill="1" applyBorder="1" applyAlignment="1">
      <alignment horizontal="center" vertical="center"/>
    </xf>
    <xf numFmtId="166" fontId="38" fillId="0" borderId="1" xfId="3" applyNumberFormat="1" applyFont="1" applyFill="1" applyBorder="1" applyAlignment="1">
      <alignment horizontal="center" vertical="center" wrapText="1"/>
    </xf>
    <xf numFmtId="166" fontId="37" fillId="0" borderId="1" xfId="1" applyNumberFormat="1" applyFont="1" applyFill="1" applyBorder="1" applyAlignment="1">
      <alignment horizontal="center" vertical="center" wrapText="1"/>
    </xf>
    <xf numFmtId="166" fontId="38" fillId="0" borderId="1" xfId="1" applyNumberFormat="1" applyFont="1" applyFill="1" applyBorder="1" applyAlignment="1">
      <alignment horizontal="center" vertical="center" wrapText="1"/>
    </xf>
    <xf numFmtId="49" fontId="36" fillId="0" borderId="1" xfId="1" applyNumberFormat="1" applyFont="1" applyFill="1" applyBorder="1" applyAlignment="1">
      <alignment horizontal="center" vertical="center" wrapText="1"/>
    </xf>
    <xf numFmtId="167" fontId="37" fillId="0" borderId="1" xfId="3" applyNumberFormat="1" applyFont="1" applyFill="1" applyBorder="1" applyAlignment="1">
      <alignment horizontal="center" vertical="center" wrapText="1"/>
    </xf>
    <xf numFmtId="166" fontId="41" fillId="2" borderId="1" xfId="1" applyNumberFormat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vertical="center"/>
    </xf>
    <xf numFmtId="0" fontId="15" fillId="0" borderId="1" xfId="1" applyFont="1" applyFill="1" applyBorder="1" applyAlignment="1">
      <alignment horizontal="center" vertical="center" wrapText="1"/>
    </xf>
    <xf numFmtId="166" fontId="15" fillId="0" borderId="1" xfId="1" applyNumberFormat="1" applyFont="1" applyFill="1" applyBorder="1" applyAlignment="1">
      <alignment horizontal="center" vertical="center" wrapText="1"/>
    </xf>
    <xf numFmtId="167" fontId="15" fillId="0" borderId="1" xfId="1" applyNumberFormat="1" applyFont="1" applyFill="1" applyBorder="1" applyAlignment="1">
      <alignment horizontal="center" vertical="center" wrapText="1"/>
    </xf>
    <xf numFmtId="166" fontId="15" fillId="0" borderId="1" xfId="3" applyNumberFormat="1" applyFont="1" applyFill="1" applyBorder="1" applyAlignment="1">
      <alignment horizontal="center" vertical="center"/>
    </xf>
    <xf numFmtId="164" fontId="15" fillId="0" borderId="1" xfId="3" applyNumberFormat="1" applyFont="1" applyFill="1" applyBorder="1" applyAlignment="1">
      <alignment horizontal="center" vertical="center"/>
    </xf>
    <xf numFmtId="0" fontId="13" fillId="0" borderId="0" xfId="1" applyFont="1" applyFill="1" applyBorder="1"/>
    <xf numFmtId="166" fontId="32" fillId="2" borderId="1" xfId="3" applyNumberFormat="1" applyFont="1" applyFill="1" applyBorder="1" applyAlignment="1">
      <alignment horizontal="center" vertical="center" wrapText="1"/>
    </xf>
    <xf numFmtId="0" fontId="44" fillId="0" borderId="1" xfId="3" applyNumberFormat="1" applyFont="1" applyFill="1" applyBorder="1" applyAlignment="1">
      <alignment horizontal="left" vertical="center" wrapText="1" shrinkToFit="1"/>
    </xf>
    <xf numFmtId="0" fontId="45" fillId="0" borderId="1" xfId="1" applyFont="1" applyFill="1" applyBorder="1" applyAlignment="1">
      <alignment horizontal="left" vertical="center" wrapText="1"/>
    </xf>
    <xf numFmtId="0" fontId="45" fillId="0" borderId="1" xfId="3" applyNumberFormat="1" applyFont="1" applyFill="1" applyBorder="1" applyAlignment="1">
      <alignment horizontal="justify" vertical="center" wrapText="1" shrinkToFit="1"/>
    </xf>
    <xf numFmtId="0" fontId="46" fillId="0" borderId="1" xfId="3" applyNumberFormat="1" applyFont="1" applyFill="1" applyBorder="1" applyAlignment="1">
      <alignment horizontal="justify" vertical="center" wrapText="1" shrinkToFit="1"/>
    </xf>
    <xf numFmtId="0" fontId="47" fillId="0" borderId="1" xfId="3" applyNumberFormat="1" applyFont="1" applyFill="1" applyBorder="1" applyAlignment="1">
      <alignment horizontal="left" vertical="center" wrapText="1" shrinkToFit="1"/>
    </xf>
    <xf numFmtId="0" fontId="29" fillId="0" borderId="1" xfId="3" applyFont="1" applyFill="1" applyBorder="1" applyAlignment="1">
      <alignment horizontal="left" vertical="center" wrapText="1"/>
    </xf>
    <xf numFmtId="49" fontId="44" fillId="0" borderId="1" xfId="3" applyNumberFormat="1" applyFont="1" applyFill="1" applyBorder="1" applyAlignment="1">
      <alignment horizontal="left" vertical="center" wrapText="1"/>
    </xf>
    <xf numFmtId="0" fontId="43" fillId="0" borderId="1" xfId="2" applyFont="1" applyFill="1" applyBorder="1" applyAlignment="1">
      <alignment horizontal="left" vertical="center" wrapText="1"/>
    </xf>
    <xf numFmtId="0" fontId="48" fillId="0" borderId="1" xfId="3" applyFont="1" applyFill="1" applyBorder="1" applyAlignment="1">
      <alignment horizontal="left" vertical="center" wrapText="1"/>
    </xf>
    <xf numFmtId="0" fontId="29" fillId="0" borderId="1" xfId="2" applyFont="1" applyFill="1" applyBorder="1" applyAlignment="1">
      <alignment vertical="center" wrapText="1"/>
    </xf>
    <xf numFmtId="49" fontId="29" fillId="0" borderId="1" xfId="3" applyNumberFormat="1" applyFont="1" applyFill="1" applyBorder="1" applyAlignment="1">
      <alignment horizontal="left" vertical="center" wrapText="1"/>
    </xf>
    <xf numFmtId="49" fontId="48" fillId="0" borderId="1" xfId="3" applyNumberFormat="1" applyFont="1" applyFill="1" applyBorder="1" applyAlignment="1">
      <alignment horizontal="left" vertical="center" wrapText="1"/>
    </xf>
    <xf numFmtId="49" fontId="44" fillId="0" borderId="1" xfId="2" applyNumberFormat="1" applyFont="1" applyFill="1" applyBorder="1" applyAlignment="1">
      <alignment horizontal="left" vertical="center" wrapText="1"/>
    </xf>
    <xf numFmtId="0" fontId="44" fillId="0" borderId="1" xfId="2" applyNumberFormat="1" applyFont="1" applyFill="1" applyBorder="1" applyAlignment="1">
      <alignment horizontal="left" vertical="center" wrapText="1"/>
    </xf>
    <xf numFmtId="166" fontId="4" fillId="0" borderId="1" xfId="2" applyNumberFormat="1" applyFont="1" applyFill="1" applyBorder="1" applyAlignment="1">
      <alignment horizontal="center" vertical="center" wrapText="1"/>
    </xf>
    <xf numFmtId="49" fontId="49" fillId="0" borderId="1" xfId="1" applyNumberFormat="1" applyFont="1" applyFill="1" applyBorder="1" applyAlignment="1">
      <alignment horizontal="center" vertical="center"/>
    </xf>
    <xf numFmtId="166" fontId="36" fillId="0" borderId="1" xfId="1" applyNumberFormat="1" applyFont="1" applyFill="1" applyBorder="1" applyAlignment="1">
      <alignment horizontal="center" vertical="center" wrapText="1"/>
    </xf>
    <xf numFmtId="166" fontId="36" fillId="0" borderId="1" xfId="3" applyNumberFormat="1" applyFont="1" applyFill="1" applyBorder="1" applyAlignment="1">
      <alignment horizontal="center" vertical="center"/>
    </xf>
    <xf numFmtId="164" fontId="36" fillId="0" borderId="1" xfId="3" applyNumberFormat="1" applyFont="1" applyFill="1" applyBorder="1" applyAlignment="1">
      <alignment horizontal="center" vertical="center"/>
    </xf>
    <xf numFmtId="0" fontId="49" fillId="0" borderId="0" xfId="1" applyFont="1" applyFill="1" applyBorder="1"/>
    <xf numFmtId="0" fontId="4" fillId="0" borderId="0" xfId="2" applyFont="1" applyFill="1" applyBorder="1" applyAlignment="1">
      <alignment horizontal="center" vertical="center" wrapText="1"/>
    </xf>
    <xf numFmtId="49" fontId="39" fillId="0" borderId="1" xfId="2" applyNumberFormat="1" applyFont="1" applyFill="1" applyBorder="1" applyAlignment="1">
      <alignment horizontal="center" vertical="center" wrapText="1"/>
    </xf>
    <xf numFmtId="49" fontId="22" fillId="0" borderId="1" xfId="3" applyNumberFormat="1" applyFont="1" applyFill="1" applyBorder="1" applyAlignment="1">
      <alignment horizontal="center" vertical="center" wrapText="1"/>
    </xf>
    <xf numFmtId="0" fontId="32" fillId="2" borderId="1" xfId="3" applyFont="1" applyFill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center" vertical="center" wrapText="1"/>
    </xf>
    <xf numFmtId="166" fontId="41" fillId="0" borderId="1" xfId="1" applyNumberFormat="1" applyFont="1" applyFill="1" applyBorder="1" applyAlignment="1">
      <alignment horizontal="center" vertical="center" wrapText="1"/>
    </xf>
    <xf numFmtId="0" fontId="29" fillId="0" borderId="0" xfId="0" applyFont="1" applyFill="1" applyBorder="1"/>
    <xf numFmtId="49" fontId="16" fillId="0" borderId="0" xfId="2" applyNumberFormat="1" applyFont="1" applyFill="1" applyBorder="1" applyAlignment="1">
      <alignment horizontal="center" vertical="center" wrapText="1"/>
    </xf>
    <xf numFmtId="49" fontId="23" fillId="0" borderId="1" xfId="3" applyNumberFormat="1" applyFont="1" applyFill="1" applyBorder="1" applyAlignment="1">
      <alignment horizontal="center" vertical="center" wrapText="1"/>
    </xf>
    <xf numFmtId="49" fontId="20" fillId="0" borderId="1" xfId="3" applyNumberFormat="1" applyFont="1" applyFill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center" vertical="center" wrapText="1"/>
    </xf>
    <xf numFmtId="0" fontId="17" fillId="0" borderId="0" xfId="2" applyFont="1" applyFill="1" applyAlignment="1">
      <alignment horizontal="center" wrapText="1"/>
    </xf>
    <xf numFmtId="49" fontId="29" fillId="0" borderId="1" xfId="3" applyNumberFormat="1" applyFont="1" applyFill="1" applyBorder="1" applyAlignment="1">
      <alignment horizontal="center" vertical="center" wrapText="1"/>
    </xf>
    <xf numFmtId="49" fontId="29" fillId="0" borderId="1" xfId="3" applyNumberFormat="1" applyFont="1" applyFill="1" applyBorder="1" applyAlignment="1">
      <alignment horizontal="center" vertical="center" textRotation="90" wrapText="1"/>
    </xf>
    <xf numFmtId="0" fontId="4" fillId="0" borderId="0" xfId="2" applyFont="1" applyFill="1" applyBorder="1" applyAlignment="1">
      <alignment horizontal="center" vertical="center" wrapText="1"/>
    </xf>
    <xf numFmtId="49" fontId="39" fillId="0" borderId="1" xfId="2" applyNumberFormat="1" applyFont="1" applyFill="1" applyBorder="1" applyAlignment="1">
      <alignment horizontal="center" vertical="center" wrapText="1"/>
    </xf>
    <xf numFmtId="49" fontId="22" fillId="0" borderId="1" xfId="3" applyNumberFormat="1" applyFont="1" applyFill="1" applyBorder="1" applyAlignment="1">
      <alignment horizontal="center" vertical="center" wrapText="1"/>
    </xf>
    <xf numFmtId="0" fontId="32" fillId="2" borderId="1" xfId="3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49" fontId="29" fillId="0" borderId="1" xfId="3" applyNumberFormat="1" applyFont="1" applyFill="1" applyBorder="1" applyAlignment="1" applyProtection="1">
      <alignment horizontal="center" vertical="center" wrapText="1"/>
      <protection locked="0"/>
    </xf>
  </cellXfs>
  <cellStyles count="4">
    <cellStyle name="Звичайний" xfId="0" builtinId="0"/>
    <cellStyle name="Звичайний 2" xfId="3"/>
    <cellStyle name="Обычный_Ан_вик_бюдж_поміс" xfId="1"/>
    <cellStyle name="Обычный_Ан_вик_бюдж_поміс_вл_закр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53"/>
  <sheetViews>
    <sheetView showGridLines="0" tabSelected="1" view="pageBreakPreview" zoomScale="60" zoomScaleNormal="75" workbookViewId="0">
      <pane xSplit="3" ySplit="4" topLeftCell="D95" activePane="bottomRight" state="frozen"/>
      <selection pane="topRight" activeCell="D1" sqref="D1"/>
      <selection pane="bottomLeft" activeCell="A5" sqref="A5"/>
      <selection pane="bottomRight" activeCell="A91" sqref="A91"/>
    </sheetView>
  </sheetViews>
  <sheetFormatPr defaultRowHeight="12.75" x14ac:dyDescent="0.2"/>
  <cols>
    <col min="1" max="1" width="12.28515625" style="19" customWidth="1"/>
    <col min="2" max="2" width="84.140625" style="19" customWidth="1"/>
    <col min="3" max="3" width="16.140625" style="19" customWidth="1"/>
    <col min="4" max="5" width="24.140625" style="19" customWidth="1"/>
    <col min="6" max="6" width="24.28515625" style="3" customWidth="1"/>
    <col min="7" max="10" width="21.140625" style="3" hidden="1" customWidth="1"/>
    <col min="11" max="11" width="24.140625" style="3" customWidth="1"/>
    <col min="12" max="12" width="21.28515625" style="3" customWidth="1"/>
    <col min="13" max="13" width="12.140625" style="3" bestFit="1" customWidth="1"/>
    <col min="14" max="14" width="24.5703125" style="3" hidden="1" customWidth="1"/>
    <col min="15" max="15" width="25.140625" style="3" hidden="1" customWidth="1"/>
    <col min="16" max="16" width="13.85546875" style="3" hidden="1" customWidth="1"/>
    <col min="17" max="17" width="15.42578125" style="3" customWidth="1"/>
    <col min="18" max="18" width="24.28515625" style="3" customWidth="1"/>
    <col min="19" max="19" width="23.5703125" style="1" customWidth="1"/>
    <col min="20" max="20" width="11.7109375" style="3" bestFit="1" customWidth="1"/>
    <col min="21" max="21" width="24" style="3" hidden="1" customWidth="1"/>
    <col min="22" max="22" width="22.28515625" style="3" hidden="1" customWidth="1"/>
    <col min="23" max="23" width="14.42578125" style="3" hidden="1" customWidth="1"/>
    <col min="24" max="24" width="11.5703125" style="3" hidden="1" customWidth="1"/>
    <col min="25" max="25" width="10.85546875" style="3" hidden="1" customWidth="1"/>
    <col min="26" max="26" width="0" style="3" hidden="1" customWidth="1"/>
    <col min="27" max="27" width="19" style="3" hidden="1" customWidth="1"/>
    <col min="28" max="40" width="0" style="3" hidden="1" customWidth="1"/>
    <col min="41" max="16384" width="9.140625" style="3"/>
  </cols>
  <sheetData>
    <row r="1" spans="1:35" ht="30" customHeight="1" x14ac:dyDescent="0.2">
      <c r="A1" s="173" t="s">
        <v>209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</row>
    <row r="2" spans="1:35" ht="18.75" x14ac:dyDescent="0.3">
      <c r="A2" s="22" t="s">
        <v>47</v>
      </c>
      <c r="B2" s="17"/>
      <c r="C2" s="1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5" t="s">
        <v>13</v>
      </c>
      <c r="T2" s="5"/>
    </row>
    <row r="3" spans="1:35" s="55" customFormat="1" ht="15" customHeight="1" x14ac:dyDescent="0.25">
      <c r="A3" s="184" t="s">
        <v>0</v>
      </c>
      <c r="B3" s="185" t="s">
        <v>1</v>
      </c>
      <c r="C3" s="185" t="s">
        <v>2</v>
      </c>
      <c r="D3" s="178" t="s">
        <v>179</v>
      </c>
      <c r="E3" s="178" t="s">
        <v>180</v>
      </c>
      <c r="F3" s="178" t="s">
        <v>192</v>
      </c>
      <c r="G3" s="178" t="s">
        <v>62</v>
      </c>
      <c r="H3" s="178" t="s">
        <v>182</v>
      </c>
      <c r="I3" s="178" t="s">
        <v>185</v>
      </c>
      <c r="J3" s="178" t="s">
        <v>189</v>
      </c>
      <c r="K3" s="178" t="s">
        <v>193</v>
      </c>
      <c r="L3" s="178" t="s">
        <v>194</v>
      </c>
      <c r="M3" s="178" t="s">
        <v>3</v>
      </c>
      <c r="N3" s="178" t="s">
        <v>195</v>
      </c>
      <c r="O3" s="178" t="s">
        <v>196</v>
      </c>
      <c r="P3" s="178" t="s">
        <v>3</v>
      </c>
      <c r="Q3" s="179" t="s">
        <v>198</v>
      </c>
      <c r="R3" s="178" t="s">
        <v>197</v>
      </c>
      <c r="S3" s="178" t="s">
        <v>181</v>
      </c>
      <c r="T3" s="178" t="s">
        <v>3</v>
      </c>
    </row>
    <row r="4" spans="1:35" s="55" customFormat="1" ht="89.25" customHeight="1" x14ac:dyDescent="0.25">
      <c r="A4" s="184"/>
      <c r="B4" s="185"/>
      <c r="C4" s="185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9"/>
      <c r="R4" s="178"/>
      <c r="S4" s="178"/>
      <c r="T4" s="178"/>
    </row>
    <row r="5" spans="1:35" s="59" customFormat="1" ht="20.25" x14ac:dyDescent="0.2">
      <c r="A5" s="56" t="s">
        <v>4</v>
      </c>
      <c r="B5" s="57" t="s">
        <v>5</v>
      </c>
      <c r="C5" s="57">
        <f>B5+1</f>
        <v>3</v>
      </c>
      <c r="D5" s="57">
        <f>C5+1</f>
        <v>4</v>
      </c>
      <c r="E5" s="57">
        <f t="shared" ref="E5:L5" si="0">D5+1</f>
        <v>5</v>
      </c>
      <c r="F5" s="57">
        <f t="shared" ref="F5" si="1">E5+1</f>
        <v>6</v>
      </c>
      <c r="G5" s="57">
        <f t="shared" ref="G5" si="2">F5+1</f>
        <v>7</v>
      </c>
      <c r="H5" s="57">
        <f t="shared" ref="H5" si="3">G5+1</f>
        <v>8</v>
      </c>
      <c r="I5" s="57">
        <f t="shared" ref="I5" si="4">H5+1</f>
        <v>9</v>
      </c>
      <c r="J5" s="57">
        <f t="shared" ref="J5" si="5">I5+1</f>
        <v>10</v>
      </c>
      <c r="K5" s="57">
        <v>7</v>
      </c>
      <c r="L5" s="57">
        <f t="shared" si="0"/>
        <v>8</v>
      </c>
      <c r="M5" s="57">
        <f t="shared" ref="M5" si="6">L5+1</f>
        <v>9</v>
      </c>
      <c r="N5" s="57">
        <f t="shared" ref="N5" si="7">M5+1</f>
        <v>10</v>
      </c>
      <c r="O5" s="57">
        <f t="shared" ref="O5" si="8">N5+1</f>
        <v>11</v>
      </c>
      <c r="P5" s="57">
        <f t="shared" ref="P5" si="9">O5+1</f>
        <v>12</v>
      </c>
      <c r="Q5" s="57">
        <v>10</v>
      </c>
      <c r="R5" s="57">
        <f t="shared" ref="R5" si="10">Q5+1</f>
        <v>11</v>
      </c>
      <c r="S5" s="57">
        <f t="shared" ref="S5" si="11">R5+1</f>
        <v>12</v>
      </c>
      <c r="T5" s="57">
        <f t="shared" ref="T5" si="12">S5+1</f>
        <v>13</v>
      </c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</row>
    <row r="6" spans="1:35" s="60" customFormat="1" ht="19.5" customHeight="1" x14ac:dyDescent="0.2">
      <c r="A6" s="174" t="s">
        <v>6</v>
      </c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</row>
    <row r="7" spans="1:35" s="128" customFormat="1" ht="23.25" x14ac:dyDescent="0.25">
      <c r="A7" s="126">
        <v>1</v>
      </c>
      <c r="B7" s="151" t="s">
        <v>63</v>
      </c>
      <c r="C7" s="127" t="s">
        <v>14</v>
      </c>
      <c r="D7" s="129">
        <v>4711296.5599999996</v>
      </c>
      <c r="E7" s="129">
        <v>4813827.45</v>
      </c>
      <c r="F7" s="129">
        <f>SUM(G7:J7)</f>
        <v>1501660.6490000002</v>
      </c>
      <c r="G7" s="129">
        <v>334636.39500000002</v>
      </c>
      <c r="H7" s="129">
        <v>360897.48800000001</v>
      </c>
      <c r="I7" s="129">
        <v>381819.44300000003</v>
      </c>
      <c r="J7" s="129">
        <v>424307.32299999997</v>
      </c>
      <c r="K7" s="129">
        <v>1312691.19</v>
      </c>
      <c r="L7" s="129">
        <f>F7-K7</f>
        <v>188969.45900000026</v>
      </c>
      <c r="M7" s="136">
        <f>F7/K7*100</f>
        <v>114.39557608366368</v>
      </c>
      <c r="N7" s="129">
        <f>E7/12*4</f>
        <v>1604609.1500000001</v>
      </c>
      <c r="O7" s="129">
        <f>F7-N7</f>
        <v>-102948.50099999993</v>
      </c>
      <c r="P7" s="136">
        <f>F7/N7*100</f>
        <v>93.584200800550093</v>
      </c>
      <c r="Q7" s="136">
        <f>F7/E7*100</f>
        <v>31.194733600183365</v>
      </c>
      <c r="R7" s="129">
        <v>1219684.8830000001</v>
      </c>
      <c r="S7" s="130">
        <f>F7-R7</f>
        <v>281975.76600000006</v>
      </c>
      <c r="T7" s="131">
        <f>F7/R7*100</f>
        <v>123.1187391046807</v>
      </c>
      <c r="U7" s="61"/>
      <c r="V7" s="61"/>
      <c r="W7" s="61">
        <f>U7-V7</f>
        <v>0</v>
      </c>
      <c r="X7" s="62" t="e">
        <f>U7/V7*100</f>
        <v>#DIV/0!</v>
      </c>
    </row>
    <row r="8" spans="1:35" s="128" customFormat="1" ht="37.5" x14ac:dyDescent="0.25">
      <c r="A8" s="126">
        <f>A7+1</f>
        <v>2</v>
      </c>
      <c r="B8" s="151" t="s">
        <v>35</v>
      </c>
      <c r="C8" s="127" t="s">
        <v>16</v>
      </c>
      <c r="D8" s="129">
        <v>7000</v>
      </c>
      <c r="E8" s="129">
        <v>7000</v>
      </c>
      <c r="F8" s="129">
        <f t="shared" ref="F8:F75" si="13">SUM(G8:J8)</f>
        <v>1751.4870000000001</v>
      </c>
      <c r="G8" s="129">
        <v>337.15100000000001</v>
      </c>
      <c r="H8" s="129">
        <v>228.66900000000001</v>
      </c>
      <c r="I8" s="129">
        <v>1110.4079999999999</v>
      </c>
      <c r="J8" s="129">
        <v>75.259</v>
      </c>
      <c r="K8" s="129">
        <v>1750</v>
      </c>
      <c r="L8" s="129">
        <f t="shared" ref="L8:L79" si="14">F8-K8</f>
        <v>1.48700000000008</v>
      </c>
      <c r="M8" s="136">
        <f t="shared" ref="M8:M79" si="15">F8/K8*100</f>
        <v>100.08497142857142</v>
      </c>
      <c r="N8" s="129">
        <f t="shared" ref="N8:N50" si="16">E8/12*4</f>
        <v>2333.3333333333335</v>
      </c>
      <c r="O8" s="129">
        <f t="shared" ref="O8:O79" si="17">F8-N8</f>
        <v>-581.8463333333334</v>
      </c>
      <c r="P8" s="136">
        <f t="shared" ref="P8:P79" si="18">F8/N8*100</f>
        <v>75.06372857142857</v>
      </c>
      <c r="Q8" s="136">
        <f t="shared" ref="Q8:Q79" si="19">F8/E8*100</f>
        <v>25.021242857142855</v>
      </c>
      <c r="R8" s="129">
        <v>2028.2929999999999</v>
      </c>
      <c r="S8" s="130">
        <f t="shared" ref="S8:S39" si="20">F8-R8</f>
        <v>-276.80599999999981</v>
      </c>
      <c r="T8" s="131">
        <f t="shared" ref="T8:T13" si="21">F8/R8*100</f>
        <v>86.352760671165356</v>
      </c>
      <c r="U8" s="61"/>
      <c r="V8" s="61"/>
      <c r="W8" s="61">
        <f>R7/0.5</f>
        <v>2439369.7660000003</v>
      </c>
      <c r="X8" s="62">
        <f>V8/W8*100</f>
        <v>0</v>
      </c>
    </row>
    <row r="9" spans="1:35" s="128" customFormat="1" ht="23.25" x14ac:dyDescent="0.25">
      <c r="A9" s="126">
        <v>3</v>
      </c>
      <c r="B9" s="151" t="s">
        <v>98</v>
      </c>
      <c r="C9" s="127" t="s">
        <v>99</v>
      </c>
      <c r="D9" s="129">
        <f>SUM(D10:D13)</f>
        <v>238</v>
      </c>
      <c r="E9" s="129">
        <f>SUM(E10:E13)</f>
        <v>238</v>
      </c>
      <c r="F9" s="129">
        <f t="shared" si="13"/>
        <v>107.092</v>
      </c>
      <c r="G9" s="129">
        <f t="shared" ref="G9:K9" si="22">SUM(G10:G13)</f>
        <v>3.7160000000000002</v>
      </c>
      <c r="H9" s="129">
        <f t="shared" ref="H9:I9" si="23">SUM(H10:H13)</f>
        <v>94.659000000000006</v>
      </c>
      <c r="I9" s="129">
        <f t="shared" si="23"/>
        <v>0.54100000000000004</v>
      </c>
      <c r="J9" s="129">
        <f t="shared" si="22"/>
        <v>8.1760000000000002</v>
      </c>
      <c r="K9" s="129">
        <f t="shared" si="22"/>
        <v>105.69999999999999</v>
      </c>
      <c r="L9" s="129">
        <f t="shared" si="14"/>
        <v>1.3920000000000101</v>
      </c>
      <c r="M9" s="136">
        <f t="shared" si="15"/>
        <v>101.31693472090824</v>
      </c>
      <c r="N9" s="129">
        <f t="shared" si="16"/>
        <v>79.333333333333329</v>
      </c>
      <c r="O9" s="129">
        <f t="shared" si="17"/>
        <v>27.75866666666667</v>
      </c>
      <c r="P9" s="136">
        <f t="shared" si="18"/>
        <v>134.98991596638658</v>
      </c>
      <c r="Q9" s="136">
        <f t="shared" si="19"/>
        <v>44.996638655462185</v>
      </c>
      <c r="R9" s="129">
        <f t="shared" ref="R9" si="24">SUM(R10:R13)</f>
        <v>206.83199999999999</v>
      </c>
      <c r="S9" s="130">
        <f t="shared" si="20"/>
        <v>-99.74</v>
      </c>
      <c r="T9" s="131">
        <f t="shared" si="21"/>
        <v>51.777287847141636</v>
      </c>
      <c r="U9" s="61"/>
      <c r="V9" s="61"/>
      <c r="W9" s="61"/>
      <c r="X9" s="62"/>
    </row>
    <row r="10" spans="1:35" s="66" customFormat="1" ht="56.25" x14ac:dyDescent="0.25">
      <c r="A10" s="63" t="s">
        <v>100</v>
      </c>
      <c r="B10" s="152" t="s">
        <v>121</v>
      </c>
      <c r="C10" s="167" t="s">
        <v>122</v>
      </c>
      <c r="D10" s="132">
        <v>20</v>
      </c>
      <c r="E10" s="132">
        <v>20</v>
      </c>
      <c r="F10" s="132">
        <f t="shared" si="13"/>
        <v>6.5830000000000002</v>
      </c>
      <c r="G10" s="132">
        <v>0</v>
      </c>
      <c r="H10" s="132">
        <v>6.5830000000000002</v>
      </c>
      <c r="I10" s="132">
        <v>0</v>
      </c>
      <c r="J10" s="132">
        <v>0</v>
      </c>
      <c r="K10" s="132">
        <v>6.5</v>
      </c>
      <c r="L10" s="132">
        <f t="shared" si="14"/>
        <v>8.3000000000000185E-2</v>
      </c>
      <c r="M10" s="118">
        <f t="shared" si="15"/>
        <v>101.27692307692308</v>
      </c>
      <c r="N10" s="132">
        <f t="shared" si="16"/>
        <v>6.666666666666667</v>
      </c>
      <c r="O10" s="132">
        <f t="shared" si="17"/>
        <v>-8.3666666666666778E-2</v>
      </c>
      <c r="P10" s="118">
        <f t="shared" si="18"/>
        <v>98.74499999999999</v>
      </c>
      <c r="Q10" s="118">
        <f t="shared" si="19"/>
        <v>32.914999999999999</v>
      </c>
      <c r="R10" s="132">
        <v>3.5609999999999999</v>
      </c>
      <c r="S10" s="92">
        <f t="shared" si="20"/>
        <v>3.0220000000000002</v>
      </c>
      <c r="T10" s="93">
        <f t="shared" si="21"/>
        <v>184.86380230272397</v>
      </c>
      <c r="U10" s="64"/>
      <c r="V10" s="64"/>
      <c r="W10" s="64"/>
      <c r="X10" s="65"/>
    </row>
    <row r="11" spans="1:35" s="66" customFormat="1" ht="75" x14ac:dyDescent="0.25">
      <c r="A11" s="63" t="s">
        <v>101</v>
      </c>
      <c r="B11" s="152" t="s">
        <v>93</v>
      </c>
      <c r="C11" s="54" t="s">
        <v>94</v>
      </c>
      <c r="D11" s="132">
        <v>68</v>
      </c>
      <c r="E11" s="132">
        <v>68</v>
      </c>
      <c r="F11" s="132">
        <f t="shared" si="13"/>
        <v>58.298000000000002</v>
      </c>
      <c r="G11" s="132">
        <v>0.68899999999999995</v>
      </c>
      <c r="H11" s="132">
        <v>57.609000000000002</v>
      </c>
      <c r="I11" s="132">
        <v>0</v>
      </c>
      <c r="J11" s="132">
        <v>0</v>
      </c>
      <c r="K11" s="132">
        <v>57.6</v>
      </c>
      <c r="L11" s="132">
        <f t="shared" si="14"/>
        <v>0.6980000000000004</v>
      </c>
      <c r="M11" s="118">
        <f t="shared" si="15"/>
        <v>101.21180555555556</v>
      </c>
      <c r="N11" s="132">
        <f t="shared" si="16"/>
        <v>22.666666666666668</v>
      </c>
      <c r="O11" s="132">
        <f t="shared" si="17"/>
        <v>35.63133333333333</v>
      </c>
      <c r="P11" s="118">
        <f t="shared" si="18"/>
        <v>257.1970588235294</v>
      </c>
      <c r="Q11" s="118">
        <f t="shared" si="19"/>
        <v>85.732352941176472</v>
      </c>
      <c r="R11" s="132">
        <v>23.032</v>
      </c>
      <c r="S11" s="92">
        <f t="shared" si="20"/>
        <v>35.266000000000005</v>
      </c>
      <c r="T11" s="93">
        <f t="shared" si="21"/>
        <v>253.1174018756513</v>
      </c>
    </row>
    <row r="12" spans="1:35" s="66" customFormat="1" ht="37.5" x14ac:dyDescent="0.25">
      <c r="A12" s="63" t="s">
        <v>102</v>
      </c>
      <c r="B12" s="152" t="s">
        <v>119</v>
      </c>
      <c r="C12" s="54" t="s">
        <v>97</v>
      </c>
      <c r="D12" s="132">
        <v>135</v>
      </c>
      <c r="E12" s="132">
        <v>135</v>
      </c>
      <c r="F12" s="132">
        <f t="shared" si="13"/>
        <v>42.210999999999999</v>
      </c>
      <c r="G12" s="132">
        <v>3.0270000000000001</v>
      </c>
      <c r="H12" s="132">
        <v>30.466999999999999</v>
      </c>
      <c r="I12" s="132">
        <v>0.54100000000000004</v>
      </c>
      <c r="J12" s="132">
        <v>8.1760000000000002</v>
      </c>
      <c r="K12" s="132">
        <v>41.6</v>
      </c>
      <c r="L12" s="132">
        <f t="shared" si="14"/>
        <v>0.6109999999999971</v>
      </c>
      <c r="M12" s="118">
        <f t="shared" si="15"/>
        <v>101.46875</v>
      </c>
      <c r="N12" s="132">
        <f t="shared" si="16"/>
        <v>45</v>
      </c>
      <c r="O12" s="132">
        <f t="shared" si="17"/>
        <v>-2.7890000000000015</v>
      </c>
      <c r="P12" s="118">
        <f t="shared" si="18"/>
        <v>93.802222222222227</v>
      </c>
      <c r="Q12" s="118">
        <f t="shared" si="19"/>
        <v>31.267407407407404</v>
      </c>
      <c r="R12" s="132">
        <v>29.553000000000001</v>
      </c>
      <c r="S12" s="92">
        <f t="shared" si="20"/>
        <v>12.657999999999998</v>
      </c>
      <c r="T12" s="93">
        <f t="shared" si="21"/>
        <v>142.83152302642711</v>
      </c>
    </row>
    <row r="13" spans="1:35" s="66" customFormat="1" ht="37.5" x14ac:dyDescent="0.25">
      <c r="A13" s="63" t="s">
        <v>123</v>
      </c>
      <c r="B13" s="152" t="s">
        <v>118</v>
      </c>
      <c r="C13" s="54" t="s">
        <v>117</v>
      </c>
      <c r="D13" s="132">
        <v>15</v>
      </c>
      <c r="E13" s="132">
        <v>15</v>
      </c>
      <c r="F13" s="132">
        <f t="shared" si="13"/>
        <v>0</v>
      </c>
      <c r="G13" s="132">
        <v>0</v>
      </c>
      <c r="H13" s="132">
        <v>0</v>
      </c>
      <c r="I13" s="132">
        <v>0</v>
      </c>
      <c r="J13" s="132">
        <v>0</v>
      </c>
      <c r="K13" s="132">
        <v>0</v>
      </c>
      <c r="L13" s="132">
        <f t="shared" si="14"/>
        <v>0</v>
      </c>
      <c r="M13" s="118"/>
      <c r="N13" s="132">
        <f t="shared" si="16"/>
        <v>5</v>
      </c>
      <c r="O13" s="132">
        <f t="shared" si="17"/>
        <v>-5</v>
      </c>
      <c r="P13" s="118">
        <f t="shared" si="18"/>
        <v>0</v>
      </c>
      <c r="Q13" s="118">
        <f t="shared" si="19"/>
        <v>0</v>
      </c>
      <c r="R13" s="132">
        <v>150.68600000000001</v>
      </c>
      <c r="S13" s="92">
        <f t="shared" si="20"/>
        <v>-150.68600000000001</v>
      </c>
      <c r="T13" s="93">
        <f t="shared" si="21"/>
        <v>0</v>
      </c>
    </row>
    <row r="14" spans="1:35" s="128" customFormat="1" ht="23.25" x14ac:dyDescent="0.25">
      <c r="A14" s="126">
        <v>4</v>
      </c>
      <c r="B14" s="153" t="s">
        <v>83</v>
      </c>
      <c r="C14" s="78" t="s">
        <v>82</v>
      </c>
      <c r="D14" s="129">
        <f>D15+D18</f>
        <v>720700</v>
      </c>
      <c r="E14" s="129">
        <f>E15+E18</f>
        <v>725105</v>
      </c>
      <c r="F14" s="129">
        <f t="shared" si="13"/>
        <v>247888.90300000002</v>
      </c>
      <c r="G14" s="129">
        <f t="shared" ref="G14:K14" si="25">G15+G18</f>
        <v>64659.467000000004</v>
      </c>
      <c r="H14" s="129">
        <f t="shared" ref="H14:J14" si="26">H15+H18</f>
        <v>53876.237999999998</v>
      </c>
      <c r="I14" s="129">
        <f t="shared" ref="I14" si="27">I15+I18</f>
        <v>64146.445000000007</v>
      </c>
      <c r="J14" s="129">
        <f t="shared" si="26"/>
        <v>65206.753000000004</v>
      </c>
      <c r="K14" s="129">
        <f t="shared" si="25"/>
        <v>236320</v>
      </c>
      <c r="L14" s="129">
        <f t="shared" si="14"/>
        <v>11568.90300000002</v>
      </c>
      <c r="M14" s="136">
        <f t="shared" si="15"/>
        <v>104.89543965809074</v>
      </c>
      <c r="N14" s="129">
        <f t="shared" si="16"/>
        <v>241701.66666666666</v>
      </c>
      <c r="O14" s="129">
        <f t="shared" si="17"/>
        <v>6187.2363333333633</v>
      </c>
      <c r="P14" s="136">
        <f t="shared" si="18"/>
        <v>102.55986498507114</v>
      </c>
      <c r="Q14" s="136">
        <f t="shared" si="19"/>
        <v>34.186621661690381</v>
      </c>
      <c r="R14" s="129">
        <f t="shared" ref="R14" si="28">R15+R18</f>
        <v>190307.18000000002</v>
      </c>
      <c r="S14" s="130">
        <f t="shared" si="20"/>
        <v>57581.722999999998</v>
      </c>
      <c r="T14" s="131">
        <f t="shared" ref="T14:T20" si="29">F14/R14*100</f>
        <v>130.2572519859734</v>
      </c>
    </row>
    <row r="15" spans="1:35" s="66" customFormat="1" ht="37.5" x14ac:dyDescent="0.25">
      <c r="A15" s="63" t="s">
        <v>113</v>
      </c>
      <c r="B15" s="152" t="s">
        <v>146</v>
      </c>
      <c r="C15" s="181" t="s">
        <v>152</v>
      </c>
      <c r="D15" s="132">
        <f>SUM(D16:D17)</f>
        <v>306500</v>
      </c>
      <c r="E15" s="132">
        <f>SUM(E16:E17)</f>
        <v>307405</v>
      </c>
      <c r="F15" s="132">
        <f t="shared" si="13"/>
        <v>109516.97500000001</v>
      </c>
      <c r="G15" s="132">
        <f t="shared" ref="G15:K15" si="30">SUM(G16:G17)</f>
        <v>25963.946</v>
      </c>
      <c r="H15" s="132">
        <f t="shared" ref="H15:J15" si="31">SUM(H16:H17)</f>
        <v>25271.419000000002</v>
      </c>
      <c r="I15" s="132">
        <f t="shared" ref="I15" si="32">SUM(I16:I17)</f>
        <v>30814.111000000001</v>
      </c>
      <c r="J15" s="132">
        <f t="shared" si="31"/>
        <v>27467.499000000003</v>
      </c>
      <c r="K15" s="132">
        <f t="shared" si="30"/>
        <v>105620</v>
      </c>
      <c r="L15" s="132">
        <f t="shared" si="14"/>
        <v>3896.9750000000058</v>
      </c>
      <c r="M15" s="118">
        <f t="shared" si="15"/>
        <v>103.68961844347662</v>
      </c>
      <c r="N15" s="132">
        <f t="shared" si="16"/>
        <v>102468.33333333333</v>
      </c>
      <c r="O15" s="132">
        <f t="shared" si="17"/>
        <v>7048.6416666666773</v>
      </c>
      <c r="P15" s="118">
        <f t="shared" si="18"/>
        <v>106.87884875002034</v>
      </c>
      <c r="Q15" s="118">
        <f t="shared" si="19"/>
        <v>35.626282916673446</v>
      </c>
      <c r="R15" s="132">
        <f t="shared" ref="R15" si="33">SUM(R16:R17)</f>
        <v>74794.045000000013</v>
      </c>
      <c r="S15" s="92">
        <f t="shared" si="20"/>
        <v>34722.929999999993</v>
      </c>
      <c r="T15" s="93">
        <f t="shared" si="29"/>
        <v>146.42472539090511</v>
      </c>
    </row>
    <row r="16" spans="1:35" s="66" customFormat="1" ht="37.5" x14ac:dyDescent="0.25">
      <c r="A16" s="63" t="s">
        <v>142</v>
      </c>
      <c r="B16" s="152" t="s">
        <v>87</v>
      </c>
      <c r="C16" s="181"/>
      <c r="D16" s="132">
        <v>28500</v>
      </c>
      <c r="E16" s="132">
        <v>28625</v>
      </c>
      <c r="F16" s="132">
        <f t="shared" si="13"/>
        <v>11228.504999999999</v>
      </c>
      <c r="G16" s="132">
        <v>1204.829</v>
      </c>
      <c r="H16" s="132">
        <v>1140.7190000000001</v>
      </c>
      <c r="I16" s="132">
        <v>4024.1439999999998</v>
      </c>
      <c r="J16" s="132">
        <v>4858.8130000000001</v>
      </c>
      <c r="K16" s="132">
        <v>8720</v>
      </c>
      <c r="L16" s="132">
        <f t="shared" si="14"/>
        <v>2508.5049999999992</v>
      </c>
      <c r="M16" s="118">
        <f t="shared" si="15"/>
        <v>128.7672591743119</v>
      </c>
      <c r="N16" s="132">
        <f t="shared" si="16"/>
        <v>9541.6666666666661</v>
      </c>
      <c r="O16" s="132">
        <f t="shared" si="17"/>
        <v>1686.8383333333331</v>
      </c>
      <c r="P16" s="118">
        <f t="shared" si="18"/>
        <v>117.67865502183406</v>
      </c>
      <c r="Q16" s="118">
        <f t="shared" si="19"/>
        <v>39.226218340611354</v>
      </c>
      <c r="R16" s="132">
        <v>12612.811</v>
      </c>
      <c r="S16" s="92">
        <f t="shared" si="20"/>
        <v>-1384.3060000000005</v>
      </c>
      <c r="T16" s="93">
        <f t="shared" si="29"/>
        <v>89.024603635145255</v>
      </c>
      <c r="U16" s="64">
        <f>R16+R17</f>
        <v>74794.045000000013</v>
      </c>
      <c r="V16" s="64">
        <f>F16+F17</f>
        <v>109516.97500000001</v>
      </c>
    </row>
    <row r="17" spans="1:23" s="66" customFormat="1" ht="37.5" x14ac:dyDescent="0.25">
      <c r="A17" s="63" t="s">
        <v>143</v>
      </c>
      <c r="B17" s="152" t="s">
        <v>88</v>
      </c>
      <c r="C17" s="181"/>
      <c r="D17" s="132">
        <v>278000</v>
      </c>
      <c r="E17" s="132">
        <v>278780</v>
      </c>
      <c r="F17" s="132">
        <f t="shared" si="13"/>
        <v>98288.47</v>
      </c>
      <c r="G17" s="132">
        <v>24759.116999999998</v>
      </c>
      <c r="H17" s="132">
        <v>24130.7</v>
      </c>
      <c r="I17" s="132">
        <v>26789.967000000001</v>
      </c>
      <c r="J17" s="132">
        <v>22608.686000000002</v>
      </c>
      <c r="K17" s="132">
        <v>96900</v>
      </c>
      <c r="L17" s="132">
        <f t="shared" si="14"/>
        <v>1388.4700000000012</v>
      </c>
      <c r="M17" s="118">
        <f t="shared" si="15"/>
        <v>101.43288957688338</v>
      </c>
      <c r="N17" s="132">
        <f t="shared" si="16"/>
        <v>92926.666666666672</v>
      </c>
      <c r="O17" s="132">
        <f t="shared" si="17"/>
        <v>5361.8033333333296</v>
      </c>
      <c r="P17" s="118">
        <f t="shared" si="18"/>
        <v>105.76992969366526</v>
      </c>
      <c r="Q17" s="118">
        <f t="shared" si="19"/>
        <v>35.256643231221751</v>
      </c>
      <c r="R17" s="132">
        <v>62181.234000000011</v>
      </c>
      <c r="S17" s="92">
        <f t="shared" si="20"/>
        <v>36107.23599999999</v>
      </c>
      <c r="T17" s="93">
        <f t="shared" si="29"/>
        <v>158.06773792877763</v>
      </c>
    </row>
    <row r="18" spans="1:23" s="66" customFormat="1" ht="37.5" x14ac:dyDescent="0.25">
      <c r="A18" s="63" t="s">
        <v>114</v>
      </c>
      <c r="B18" s="152" t="s">
        <v>89</v>
      </c>
      <c r="C18" s="54" t="s">
        <v>55</v>
      </c>
      <c r="D18" s="132">
        <f t="shared" ref="D18:E18" si="34">SUM(D19:D20)</f>
        <v>414200</v>
      </c>
      <c r="E18" s="132">
        <f t="shared" si="34"/>
        <v>417700</v>
      </c>
      <c r="F18" s="132">
        <f t="shared" si="13"/>
        <v>138371.92800000001</v>
      </c>
      <c r="G18" s="132">
        <f t="shared" ref="G18:K18" si="35">SUM(G19:G20)</f>
        <v>38695.521000000001</v>
      </c>
      <c r="H18" s="132">
        <f t="shared" ref="H18:I18" si="36">SUM(H19:H20)</f>
        <v>28604.819</v>
      </c>
      <c r="I18" s="132">
        <f t="shared" si="36"/>
        <v>33332.334000000003</v>
      </c>
      <c r="J18" s="132">
        <f t="shared" si="35"/>
        <v>37739.254000000001</v>
      </c>
      <c r="K18" s="132">
        <f t="shared" si="35"/>
        <v>130700</v>
      </c>
      <c r="L18" s="132">
        <f t="shared" si="14"/>
        <v>7671.9280000000144</v>
      </c>
      <c r="M18" s="118">
        <f t="shared" si="15"/>
        <v>105.86987605202755</v>
      </c>
      <c r="N18" s="132">
        <f t="shared" si="16"/>
        <v>139233.33333333334</v>
      </c>
      <c r="O18" s="132">
        <f t="shared" si="17"/>
        <v>-861.4053333333286</v>
      </c>
      <c r="P18" s="118">
        <f t="shared" si="18"/>
        <v>99.381322480248997</v>
      </c>
      <c r="Q18" s="118">
        <f t="shared" si="19"/>
        <v>33.127107493416332</v>
      </c>
      <c r="R18" s="132">
        <f t="shared" ref="R18" si="37">SUM(R19:R20)</f>
        <v>115513.13500000001</v>
      </c>
      <c r="S18" s="92">
        <f t="shared" si="20"/>
        <v>22858.793000000005</v>
      </c>
      <c r="T18" s="93">
        <f t="shared" si="29"/>
        <v>119.788912317201</v>
      </c>
    </row>
    <row r="19" spans="1:23" s="66" customFormat="1" ht="112.5" x14ac:dyDescent="0.25">
      <c r="A19" s="63" t="s">
        <v>144</v>
      </c>
      <c r="B19" s="152" t="s">
        <v>128</v>
      </c>
      <c r="C19" s="54">
        <v>14040100</v>
      </c>
      <c r="D19" s="132">
        <v>256000</v>
      </c>
      <c r="E19" s="132">
        <v>256000</v>
      </c>
      <c r="F19" s="132">
        <f t="shared" si="13"/>
        <v>89922.207999999999</v>
      </c>
      <c r="G19" s="132">
        <v>23061.749</v>
      </c>
      <c r="H19" s="132">
        <v>17196.71</v>
      </c>
      <c r="I19" s="132">
        <v>23865.233</v>
      </c>
      <c r="J19" s="132">
        <v>25798.516</v>
      </c>
      <c r="K19" s="132">
        <v>86100</v>
      </c>
      <c r="L19" s="132">
        <f t="shared" si="14"/>
        <v>3822.2079999999987</v>
      </c>
      <c r="M19" s="118">
        <f t="shared" si="15"/>
        <v>104.43926596980255</v>
      </c>
      <c r="N19" s="132">
        <f t="shared" si="16"/>
        <v>85333.333333333328</v>
      </c>
      <c r="O19" s="132">
        <f t="shared" si="17"/>
        <v>4588.8746666666702</v>
      </c>
      <c r="P19" s="118">
        <f t="shared" si="18"/>
        <v>105.37758750000002</v>
      </c>
      <c r="Q19" s="118">
        <f t="shared" si="19"/>
        <v>35.125862499999997</v>
      </c>
      <c r="R19" s="132">
        <v>71662.703000000009</v>
      </c>
      <c r="S19" s="92">
        <f t="shared" si="20"/>
        <v>18259.50499999999</v>
      </c>
      <c r="T19" s="93">
        <f t="shared" si="29"/>
        <v>125.47978827982527</v>
      </c>
    </row>
    <row r="20" spans="1:23" s="66" customFormat="1" ht="75" x14ac:dyDescent="0.25">
      <c r="A20" s="63" t="s">
        <v>145</v>
      </c>
      <c r="B20" s="152" t="s">
        <v>129</v>
      </c>
      <c r="C20" s="54">
        <v>14040200</v>
      </c>
      <c r="D20" s="132">
        <v>158200</v>
      </c>
      <c r="E20" s="132">
        <v>161700</v>
      </c>
      <c r="F20" s="132">
        <f t="shared" si="13"/>
        <v>48449.72</v>
      </c>
      <c r="G20" s="132">
        <v>15633.772000000001</v>
      </c>
      <c r="H20" s="132">
        <v>11408.109</v>
      </c>
      <c r="I20" s="132">
        <v>9467.1010000000006</v>
      </c>
      <c r="J20" s="132">
        <v>11940.737999999999</v>
      </c>
      <c r="K20" s="132">
        <v>44600</v>
      </c>
      <c r="L20" s="132">
        <f t="shared" si="14"/>
        <v>3849.7200000000012</v>
      </c>
      <c r="M20" s="118">
        <f t="shared" si="15"/>
        <v>108.63165919282511</v>
      </c>
      <c r="N20" s="132">
        <f t="shared" si="16"/>
        <v>53900</v>
      </c>
      <c r="O20" s="132">
        <f t="shared" si="17"/>
        <v>-5450.2799999999988</v>
      </c>
      <c r="P20" s="118">
        <f t="shared" si="18"/>
        <v>89.888163265306119</v>
      </c>
      <c r="Q20" s="118">
        <f t="shared" si="19"/>
        <v>29.962721088435373</v>
      </c>
      <c r="R20" s="132">
        <v>43850.432000000001</v>
      </c>
      <c r="S20" s="92">
        <f t="shared" si="20"/>
        <v>4599.2880000000005</v>
      </c>
      <c r="T20" s="93">
        <f t="shared" si="29"/>
        <v>110.48858081945465</v>
      </c>
    </row>
    <row r="21" spans="1:23" s="82" customFormat="1" ht="23.25" hidden="1" x14ac:dyDescent="0.25">
      <c r="A21" s="126">
        <v>5</v>
      </c>
      <c r="B21" s="151" t="s">
        <v>130</v>
      </c>
      <c r="C21" s="127" t="s">
        <v>131</v>
      </c>
      <c r="D21" s="129">
        <v>0</v>
      </c>
      <c r="E21" s="129">
        <v>0</v>
      </c>
      <c r="F21" s="129">
        <f t="shared" si="13"/>
        <v>0</v>
      </c>
      <c r="G21" s="129">
        <v>0</v>
      </c>
      <c r="H21" s="129"/>
      <c r="I21" s="129"/>
      <c r="J21" s="129"/>
      <c r="K21" s="129"/>
      <c r="L21" s="129">
        <f t="shared" si="14"/>
        <v>0</v>
      </c>
      <c r="M21" s="136"/>
      <c r="N21" s="129">
        <f t="shared" si="16"/>
        <v>0</v>
      </c>
      <c r="O21" s="129">
        <f t="shared" si="17"/>
        <v>0</v>
      </c>
      <c r="P21" s="136"/>
      <c r="Q21" s="136"/>
      <c r="R21" s="129"/>
      <c r="S21" s="130">
        <f t="shared" si="20"/>
        <v>0</v>
      </c>
      <c r="T21" s="131"/>
      <c r="U21" s="98"/>
      <c r="V21" s="98"/>
    </row>
    <row r="22" spans="1:23" s="82" customFormat="1" ht="37.5" x14ac:dyDescent="0.25">
      <c r="A22" s="126">
        <v>5</v>
      </c>
      <c r="B22" s="151" t="s">
        <v>127</v>
      </c>
      <c r="C22" s="127" t="s">
        <v>37</v>
      </c>
      <c r="D22" s="129">
        <f>D23+D24+D25+D27+D26</f>
        <v>1985135</v>
      </c>
      <c r="E22" s="129">
        <f>E23+E24+E25+E27+E26</f>
        <v>2022779</v>
      </c>
      <c r="F22" s="129">
        <f t="shared" si="13"/>
        <v>739043.04899999988</v>
      </c>
      <c r="G22" s="129">
        <f t="shared" ref="G22:K22" si="38">G23+G24+G25+G27+G26</f>
        <v>200072.26499999998</v>
      </c>
      <c r="H22" s="129">
        <f t="shared" ref="H22:I22" si="39">H23+H24+H25+H27+H26</f>
        <v>207402.95600000001</v>
      </c>
      <c r="I22" s="129">
        <f t="shared" si="39"/>
        <v>106690.845</v>
      </c>
      <c r="J22" s="129">
        <f t="shared" si="38"/>
        <v>224876.98299999995</v>
      </c>
      <c r="K22" s="129">
        <f t="shared" si="38"/>
        <v>684155</v>
      </c>
      <c r="L22" s="129">
        <f t="shared" si="14"/>
        <v>54888.048999999883</v>
      </c>
      <c r="M22" s="136">
        <f t="shared" si="15"/>
        <v>108.0227505462943</v>
      </c>
      <c r="N22" s="129">
        <f t="shared" si="16"/>
        <v>674259.66666666663</v>
      </c>
      <c r="O22" s="129">
        <f t="shared" si="17"/>
        <v>64783.382333333255</v>
      </c>
      <c r="P22" s="136">
        <f t="shared" si="18"/>
        <v>109.6080761665016</v>
      </c>
      <c r="Q22" s="136">
        <f t="shared" si="19"/>
        <v>36.53602538883387</v>
      </c>
      <c r="R22" s="129">
        <f t="shared" ref="R22" si="40">R23+R24+R25+R27+R26</f>
        <v>637120.21899999992</v>
      </c>
      <c r="S22" s="130">
        <f t="shared" si="20"/>
        <v>101922.82999999996</v>
      </c>
      <c r="T22" s="131">
        <f t="shared" ref="T22:T28" si="41">F22/R22*100</f>
        <v>115.99742512645011</v>
      </c>
      <c r="U22" s="98">
        <f>R24+R25+R23</f>
        <v>226645.60400000002</v>
      </c>
      <c r="V22" s="98">
        <f>F23+F24+F25</f>
        <v>280342.37099999998</v>
      </c>
    </row>
    <row r="23" spans="1:23" s="84" customFormat="1" ht="23.25" x14ac:dyDescent="0.25">
      <c r="A23" s="83" t="s">
        <v>155</v>
      </c>
      <c r="B23" s="154" t="s">
        <v>56</v>
      </c>
      <c r="C23" s="182" t="s">
        <v>43</v>
      </c>
      <c r="D23" s="132">
        <v>266930</v>
      </c>
      <c r="E23" s="132">
        <v>270010</v>
      </c>
      <c r="F23" s="132">
        <f t="shared" si="13"/>
        <v>109015.12</v>
      </c>
      <c r="G23" s="132">
        <v>33334.353000000003</v>
      </c>
      <c r="H23" s="132">
        <v>16059.319</v>
      </c>
      <c r="I23" s="132">
        <v>15091.124</v>
      </c>
      <c r="J23" s="132">
        <v>44530.324000000001</v>
      </c>
      <c r="K23" s="132">
        <v>106278</v>
      </c>
      <c r="L23" s="132">
        <f t="shared" si="14"/>
        <v>2737.1199999999953</v>
      </c>
      <c r="M23" s="118">
        <f t="shared" si="15"/>
        <v>102.57543423850655</v>
      </c>
      <c r="N23" s="132">
        <f t="shared" si="16"/>
        <v>90003.333333333328</v>
      </c>
      <c r="O23" s="132">
        <f t="shared" si="17"/>
        <v>19011.786666666667</v>
      </c>
      <c r="P23" s="118">
        <f t="shared" si="18"/>
        <v>121.12342505833118</v>
      </c>
      <c r="Q23" s="118">
        <f t="shared" si="19"/>
        <v>40.374475019443722</v>
      </c>
      <c r="R23" s="132">
        <v>88546.613000000012</v>
      </c>
      <c r="S23" s="92">
        <f t="shared" si="20"/>
        <v>20468.506999999983</v>
      </c>
      <c r="T23" s="93">
        <f t="shared" si="41"/>
        <v>123.1160812441239</v>
      </c>
    </row>
    <row r="24" spans="1:23" s="84" customFormat="1" ht="23.25" x14ac:dyDescent="0.25">
      <c r="A24" s="63" t="s">
        <v>156</v>
      </c>
      <c r="B24" s="154" t="s">
        <v>7</v>
      </c>
      <c r="C24" s="182"/>
      <c r="D24" s="132">
        <v>449450</v>
      </c>
      <c r="E24" s="132">
        <v>455169</v>
      </c>
      <c r="F24" s="132">
        <f t="shared" si="13"/>
        <v>169753.049</v>
      </c>
      <c r="G24" s="132">
        <v>35500.784</v>
      </c>
      <c r="H24" s="132">
        <v>44505.771000000001</v>
      </c>
      <c r="I24" s="132">
        <v>42348.425999999999</v>
      </c>
      <c r="J24" s="132">
        <v>47398.067999999999</v>
      </c>
      <c r="K24" s="132">
        <v>151150</v>
      </c>
      <c r="L24" s="132">
        <f t="shared" si="14"/>
        <v>18603.048999999999</v>
      </c>
      <c r="M24" s="118">
        <f t="shared" si="15"/>
        <v>112.3076738339398</v>
      </c>
      <c r="N24" s="132">
        <f t="shared" si="16"/>
        <v>151723</v>
      </c>
      <c r="O24" s="132">
        <f t="shared" si="17"/>
        <v>18030.048999999999</v>
      </c>
      <c r="P24" s="118">
        <f t="shared" si="18"/>
        <v>111.88353051284248</v>
      </c>
      <c r="Q24" s="118">
        <f t="shared" si="19"/>
        <v>37.29451017094749</v>
      </c>
      <c r="R24" s="132">
        <v>136783.095</v>
      </c>
      <c r="S24" s="92">
        <f t="shared" si="20"/>
        <v>32969.953999999998</v>
      </c>
      <c r="T24" s="93">
        <f t="shared" si="41"/>
        <v>124.10382218650631</v>
      </c>
    </row>
    <row r="25" spans="1:23" s="84" customFormat="1" ht="23.25" x14ac:dyDescent="0.25">
      <c r="A25" s="63" t="s">
        <v>157</v>
      </c>
      <c r="B25" s="154" t="s">
        <v>57</v>
      </c>
      <c r="C25" s="182"/>
      <c r="D25" s="132">
        <v>1800</v>
      </c>
      <c r="E25" s="132">
        <v>1800</v>
      </c>
      <c r="F25" s="132">
        <f t="shared" si="13"/>
        <v>1574.202</v>
      </c>
      <c r="G25" s="132">
        <v>603.67399999999998</v>
      </c>
      <c r="H25" s="132">
        <v>341.28</v>
      </c>
      <c r="I25" s="132">
        <v>217.60499999999999</v>
      </c>
      <c r="J25" s="132">
        <v>411.64299999999997</v>
      </c>
      <c r="K25" s="132">
        <v>1298</v>
      </c>
      <c r="L25" s="132">
        <f t="shared" si="14"/>
        <v>276.202</v>
      </c>
      <c r="M25" s="118">
        <f t="shared" si="15"/>
        <v>121.27904468412942</v>
      </c>
      <c r="N25" s="132">
        <f t="shared" si="16"/>
        <v>600</v>
      </c>
      <c r="O25" s="132">
        <f t="shared" si="17"/>
        <v>974.202</v>
      </c>
      <c r="P25" s="118">
        <f t="shared" si="18"/>
        <v>262.36700000000002</v>
      </c>
      <c r="Q25" s="118">
        <f t="shared" si="19"/>
        <v>87.455666666666659</v>
      </c>
      <c r="R25" s="132">
        <v>1315.896</v>
      </c>
      <c r="S25" s="92">
        <f t="shared" si="20"/>
        <v>258.30600000000004</v>
      </c>
      <c r="T25" s="93">
        <f t="shared" si="41"/>
        <v>119.62966678217732</v>
      </c>
      <c r="U25" s="93">
        <f>100-T25</f>
        <v>-19.629666782177324</v>
      </c>
      <c r="V25" s="85"/>
      <c r="W25" s="86" t="e">
        <f>F23/#REF!*100</f>
        <v>#REF!</v>
      </c>
    </row>
    <row r="26" spans="1:23" s="88" customFormat="1" ht="23.25" x14ac:dyDescent="0.25">
      <c r="A26" s="63" t="s">
        <v>158</v>
      </c>
      <c r="B26" s="154" t="s">
        <v>39</v>
      </c>
      <c r="C26" s="87" t="s">
        <v>38</v>
      </c>
      <c r="D26" s="132">
        <v>3815</v>
      </c>
      <c r="E26" s="132">
        <v>3815</v>
      </c>
      <c r="F26" s="132">
        <f t="shared" si="13"/>
        <v>1222.3109999999999</v>
      </c>
      <c r="G26" s="132">
        <v>243.37200000000001</v>
      </c>
      <c r="H26" s="132">
        <v>479.334</v>
      </c>
      <c r="I26" s="132">
        <v>107.718</v>
      </c>
      <c r="J26" s="132">
        <v>391.887</v>
      </c>
      <c r="K26" s="132">
        <v>1109</v>
      </c>
      <c r="L26" s="132">
        <f t="shared" si="14"/>
        <v>113.31099999999992</v>
      </c>
      <c r="M26" s="118">
        <f t="shared" si="15"/>
        <v>110.21740306582505</v>
      </c>
      <c r="N26" s="132">
        <f t="shared" si="16"/>
        <v>1271.6666666666667</v>
      </c>
      <c r="O26" s="132">
        <f t="shared" si="17"/>
        <v>-49.355666666666821</v>
      </c>
      <c r="P26" s="118">
        <f t="shared" si="18"/>
        <v>96.118820445609416</v>
      </c>
      <c r="Q26" s="118">
        <f t="shared" si="19"/>
        <v>32.039606815203143</v>
      </c>
      <c r="R26" s="132">
        <v>1074.614</v>
      </c>
      <c r="S26" s="132">
        <f t="shared" si="20"/>
        <v>147.69699999999989</v>
      </c>
      <c r="T26" s="93">
        <f t="shared" si="41"/>
        <v>113.74419093739705</v>
      </c>
    </row>
    <row r="27" spans="1:23" s="84" customFormat="1" ht="23.25" x14ac:dyDescent="0.25">
      <c r="A27" s="63" t="s">
        <v>159</v>
      </c>
      <c r="B27" s="154" t="s">
        <v>32</v>
      </c>
      <c r="C27" s="168" t="s">
        <v>33</v>
      </c>
      <c r="D27" s="132">
        <v>1263140</v>
      </c>
      <c r="E27" s="132">
        <v>1291985</v>
      </c>
      <c r="F27" s="132">
        <f t="shared" si="13"/>
        <v>457478.36700000003</v>
      </c>
      <c r="G27" s="132">
        <v>130390.08199999999</v>
      </c>
      <c r="H27" s="132">
        <v>146017.25200000001</v>
      </c>
      <c r="I27" s="132">
        <v>48925.972000000002</v>
      </c>
      <c r="J27" s="132">
        <v>132145.06099999999</v>
      </c>
      <c r="K27" s="132">
        <v>424320</v>
      </c>
      <c r="L27" s="132">
        <f t="shared" si="14"/>
        <v>33158.367000000027</v>
      </c>
      <c r="M27" s="118">
        <f t="shared" si="15"/>
        <v>107.81447186085973</v>
      </c>
      <c r="N27" s="132">
        <f t="shared" si="16"/>
        <v>430661.66666666669</v>
      </c>
      <c r="O27" s="132">
        <f t="shared" si="17"/>
        <v>26816.700333333341</v>
      </c>
      <c r="P27" s="118">
        <f t="shared" si="18"/>
        <v>106.22686029636567</v>
      </c>
      <c r="Q27" s="118">
        <f t="shared" si="19"/>
        <v>35.408953432121891</v>
      </c>
      <c r="R27" s="132">
        <v>409400.00099999999</v>
      </c>
      <c r="S27" s="92">
        <f t="shared" si="20"/>
        <v>48078.366000000038</v>
      </c>
      <c r="T27" s="93">
        <f t="shared" si="41"/>
        <v>111.74361648328379</v>
      </c>
      <c r="V27" s="85"/>
      <c r="W27" s="86" t="e">
        <f>F27/#REF!*100</f>
        <v>#REF!</v>
      </c>
    </row>
    <row r="28" spans="1:23" s="128" customFormat="1" ht="56.25" x14ac:dyDescent="0.25">
      <c r="A28" s="126">
        <v>6</v>
      </c>
      <c r="B28" s="151" t="s">
        <v>45</v>
      </c>
      <c r="C28" s="127" t="s">
        <v>17</v>
      </c>
      <c r="D28" s="129">
        <v>2000</v>
      </c>
      <c r="E28" s="129">
        <v>2000</v>
      </c>
      <c r="F28" s="129">
        <f t="shared" si="13"/>
        <v>482.40700000000004</v>
      </c>
      <c r="G28" s="129">
        <v>0</v>
      </c>
      <c r="H28" s="129">
        <v>26.594999999999999</v>
      </c>
      <c r="I28" s="129">
        <v>351.50400000000002</v>
      </c>
      <c r="J28" s="129">
        <v>104.30800000000001</v>
      </c>
      <c r="K28" s="129">
        <v>478</v>
      </c>
      <c r="L28" s="129">
        <f t="shared" si="14"/>
        <v>4.4070000000000391</v>
      </c>
      <c r="M28" s="136">
        <f t="shared" si="15"/>
        <v>100.92196652719667</v>
      </c>
      <c r="N28" s="129">
        <f t="shared" si="16"/>
        <v>666.66666666666663</v>
      </c>
      <c r="O28" s="129">
        <f t="shared" si="17"/>
        <v>-184.25966666666659</v>
      </c>
      <c r="P28" s="136">
        <f t="shared" si="18"/>
        <v>72.361050000000006</v>
      </c>
      <c r="Q28" s="136">
        <f t="shared" si="19"/>
        <v>24.120350000000002</v>
      </c>
      <c r="R28" s="129">
        <v>596.91499999999985</v>
      </c>
      <c r="S28" s="130">
        <f t="shared" si="20"/>
        <v>-114.50799999999981</v>
      </c>
      <c r="T28" s="131">
        <f t="shared" si="41"/>
        <v>80.816699195027795</v>
      </c>
      <c r="U28" s="62">
        <f>100-T28</f>
        <v>19.183300804972205</v>
      </c>
    </row>
    <row r="29" spans="1:23" s="128" customFormat="1" ht="23.25" x14ac:dyDescent="0.25">
      <c r="A29" s="126">
        <f t="shared" ref="A29:A37" si="42">A28+1</f>
        <v>7</v>
      </c>
      <c r="B29" s="151" t="s">
        <v>67</v>
      </c>
      <c r="C29" s="127" t="s">
        <v>66</v>
      </c>
      <c r="D29" s="129">
        <v>23900</v>
      </c>
      <c r="E29" s="129">
        <v>23900</v>
      </c>
      <c r="F29" s="129">
        <f t="shared" si="13"/>
        <v>0</v>
      </c>
      <c r="G29" s="129">
        <v>0</v>
      </c>
      <c r="H29" s="129">
        <v>0</v>
      </c>
      <c r="I29" s="129">
        <v>0</v>
      </c>
      <c r="J29" s="129">
        <v>0</v>
      </c>
      <c r="K29" s="129">
        <v>0</v>
      </c>
      <c r="L29" s="129">
        <f t="shared" si="14"/>
        <v>0</v>
      </c>
      <c r="M29" s="136"/>
      <c r="N29" s="129">
        <f t="shared" si="16"/>
        <v>7966.666666666667</v>
      </c>
      <c r="O29" s="129">
        <f t="shared" si="17"/>
        <v>-7966.666666666667</v>
      </c>
      <c r="P29" s="136">
        <f t="shared" si="18"/>
        <v>0</v>
      </c>
      <c r="Q29" s="136">
        <f t="shared" si="19"/>
        <v>0</v>
      </c>
      <c r="R29" s="129">
        <v>6894.174</v>
      </c>
      <c r="S29" s="130">
        <f t="shared" si="20"/>
        <v>-6894.174</v>
      </c>
      <c r="T29" s="131"/>
    </row>
    <row r="30" spans="1:23" s="128" customFormat="1" ht="23.25" x14ac:dyDescent="0.25">
      <c r="A30" s="126">
        <f t="shared" si="42"/>
        <v>8</v>
      </c>
      <c r="B30" s="151" t="s">
        <v>8</v>
      </c>
      <c r="C30" s="127" t="s">
        <v>18</v>
      </c>
      <c r="D30" s="129">
        <v>95</v>
      </c>
      <c r="E30" s="129">
        <v>95</v>
      </c>
      <c r="F30" s="129">
        <f t="shared" si="13"/>
        <v>51.896999999999998</v>
      </c>
      <c r="G30" s="129">
        <v>0</v>
      </c>
      <c r="H30" s="129">
        <v>51.896999999999998</v>
      </c>
      <c r="I30" s="129">
        <v>0</v>
      </c>
      <c r="J30" s="129">
        <v>0</v>
      </c>
      <c r="K30" s="129">
        <v>51</v>
      </c>
      <c r="L30" s="129">
        <f t="shared" si="14"/>
        <v>0.89699999999999847</v>
      </c>
      <c r="M30" s="136">
        <f t="shared" si="15"/>
        <v>101.75882352941177</v>
      </c>
      <c r="N30" s="129">
        <f t="shared" si="16"/>
        <v>31.666666666666668</v>
      </c>
      <c r="O30" s="129">
        <f t="shared" si="17"/>
        <v>20.230333333333331</v>
      </c>
      <c r="P30" s="136">
        <f t="shared" si="18"/>
        <v>163.88526315789474</v>
      </c>
      <c r="Q30" s="136">
        <f t="shared" si="19"/>
        <v>54.62842105263158</v>
      </c>
      <c r="R30" s="129">
        <v>0</v>
      </c>
      <c r="S30" s="130">
        <f t="shared" si="20"/>
        <v>51.896999999999998</v>
      </c>
      <c r="T30" s="131"/>
    </row>
    <row r="31" spans="1:23" s="128" customFormat="1" ht="75" x14ac:dyDescent="0.25">
      <c r="A31" s="126">
        <f t="shared" si="42"/>
        <v>9</v>
      </c>
      <c r="B31" s="155" t="s">
        <v>84</v>
      </c>
      <c r="C31" s="79" t="s">
        <v>85</v>
      </c>
      <c r="D31" s="129">
        <v>5</v>
      </c>
      <c r="E31" s="129">
        <v>54</v>
      </c>
      <c r="F31" s="129">
        <f t="shared" si="13"/>
        <v>54.896000000000001</v>
      </c>
      <c r="G31" s="129">
        <v>54.896000000000001</v>
      </c>
      <c r="H31" s="129">
        <v>0</v>
      </c>
      <c r="I31" s="129">
        <v>0</v>
      </c>
      <c r="J31" s="129">
        <v>0</v>
      </c>
      <c r="K31" s="129">
        <v>54</v>
      </c>
      <c r="L31" s="129">
        <f t="shared" si="14"/>
        <v>0.8960000000000008</v>
      </c>
      <c r="M31" s="136">
        <f t="shared" si="15"/>
        <v>101.65925925925927</v>
      </c>
      <c r="N31" s="129">
        <f t="shared" si="16"/>
        <v>18</v>
      </c>
      <c r="O31" s="129">
        <f t="shared" si="17"/>
        <v>36.896000000000001</v>
      </c>
      <c r="P31" s="136">
        <f t="shared" si="18"/>
        <v>304.97777777777782</v>
      </c>
      <c r="Q31" s="136">
        <f t="shared" si="19"/>
        <v>101.65925925925927</v>
      </c>
      <c r="R31" s="129">
        <v>0</v>
      </c>
      <c r="S31" s="130">
        <f t="shared" si="20"/>
        <v>54.896000000000001</v>
      </c>
      <c r="T31" s="131"/>
    </row>
    <row r="32" spans="1:23" s="128" customFormat="1" ht="23.25" x14ac:dyDescent="0.25">
      <c r="A32" s="126">
        <f t="shared" si="42"/>
        <v>10</v>
      </c>
      <c r="B32" s="156" t="s">
        <v>29</v>
      </c>
      <c r="C32" s="127" t="s">
        <v>24</v>
      </c>
      <c r="D32" s="129">
        <v>19500</v>
      </c>
      <c r="E32" s="129">
        <v>19500</v>
      </c>
      <c r="F32" s="129">
        <f t="shared" si="13"/>
        <v>6744.4269999999997</v>
      </c>
      <c r="G32" s="129">
        <v>1472.184</v>
      </c>
      <c r="H32" s="129">
        <v>1439.597</v>
      </c>
      <c r="I32" s="129">
        <v>1766.288</v>
      </c>
      <c r="J32" s="129">
        <v>2066.3580000000002</v>
      </c>
      <c r="K32" s="129">
        <v>6670</v>
      </c>
      <c r="L32" s="129">
        <f t="shared" si="14"/>
        <v>74.42699999999968</v>
      </c>
      <c r="M32" s="136">
        <f t="shared" si="15"/>
        <v>101.11584707646178</v>
      </c>
      <c r="N32" s="129">
        <f t="shared" si="16"/>
        <v>6500</v>
      </c>
      <c r="O32" s="129">
        <f t="shared" si="17"/>
        <v>244.42699999999968</v>
      </c>
      <c r="P32" s="136">
        <f t="shared" si="18"/>
        <v>103.76041538461538</v>
      </c>
      <c r="Q32" s="136">
        <f t="shared" si="19"/>
        <v>34.586805128205128</v>
      </c>
      <c r="R32" s="129">
        <v>5491.8270000000002</v>
      </c>
      <c r="S32" s="130">
        <f t="shared" si="20"/>
        <v>1252.5999999999995</v>
      </c>
      <c r="T32" s="131">
        <f>F32/R32*100</f>
        <v>122.80843879459422</v>
      </c>
      <c r="U32" s="62">
        <f>100-T32</f>
        <v>-22.808438794594224</v>
      </c>
    </row>
    <row r="33" spans="1:24" s="128" customFormat="1" ht="56.25" x14ac:dyDescent="0.25">
      <c r="A33" s="126">
        <f t="shared" si="42"/>
        <v>11</v>
      </c>
      <c r="B33" s="156" t="s">
        <v>77</v>
      </c>
      <c r="C33" s="127" t="s">
        <v>76</v>
      </c>
      <c r="D33" s="129">
        <v>2300</v>
      </c>
      <c r="E33" s="129">
        <v>3300</v>
      </c>
      <c r="F33" s="129">
        <f t="shared" si="13"/>
        <v>1496.441</v>
      </c>
      <c r="G33" s="129">
        <v>64.132999999999996</v>
      </c>
      <c r="H33" s="129">
        <v>1052.6990000000001</v>
      </c>
      <c r="I33" s="129">
        <v>240.904</v>
      </c>
      <c r="J33" s="129">
        <v>138.70500000000001</v>
      </c>
      <c r="K33" s="129">
        <v>1494</v>
      </c>
      <c r="L33" s="129">
        <f t="shared" si="14"/>
        <v>2.4410000000000309</v>
      </c>
      <c r="M33" s="136">
        <f t="shared" si="15"/>
        <v>100.16338688085675</v>
      </c>
      <c r="N33" s="129">
        <f t="shared" si="16"/>
        <v>1100</v>
      </c>
      <c r="O33" s="129">
        <f t="shared" si="17"/>
        <v>396.44100000000003</v>
      </c>
      <c r="P33" s="136">
        <f t="shared" si="18"/>
        <v>136.04009090909091</v>
      </c>
      <c r="Q33" s="136">
        <f t="shared" si="19"/>
        <v>45.346696969696971</v>
      </c>
      <c r="R33" s="129">
        <v>929.30700000000002</v>
      </c>
      <c r="S33" s="130">
        <f t="shared" si="20"/>
        <v>567.13400000000001</v>
      </c>
      <c r="T33" s="131">
        <f>F33/R33*100</f>
        <v>161.02762596214168</v>
      </c>
    </row>
    <row r="34" spans="1:24" s="128" customFormat="1" ht="56.25" x14ac:dyDescent="0.25">
      <c r="A34" s="126">
        <f t="shared" si="42"/>
        <v>12</v>
      </c>
      <c r="B34" s="156" t="s">
        <v>183</v>
      </c>
      <c r="C34" s="127" t="s">
        <v>103</v>
      </c>
      <c r="D34" s="129">
        <v>25000</v>
      </c>
      <c r="E34" s="129">
        <v>25255</v>
      </c>
      <c r="F34" s="129">
        <f t="shared" si="13"/>
        <v>11414.916000000001</v>
      </c>
      <c r="G34" s="129">
        <v>2369.2840000000001</v>
      </c>
      <c r="H34" s="129">
        <v>3185.7420000000002</v>
      </c>
      <c r="I34" s="129">
        <v>3081.21</v>
      </c>
      <c r="J34" s="129">
        <v>2778.68</v>
      </c>
      <c r="K34" s="129">
        <v>11210</v>
      </c>
      <c r="L34" s="129">
        <f t="shared" si="14"/>
        <v>204.91600000000108</v>
      </c>
      <c r="M34" s="136">
        <f t="shared" si="15"/>
        <v>101.82797502230152</v>
      </c>
      <c r="N34" s="129">
        <f t="shared" si="16"/>
        <v>8418.3333333333339</v>
      </c>
      <c r="O34" s="129">
        <f t="shared" si="17"/>
        <v>2996.5826666666671</v>
      </c>
      <c r="P34" s="136">
        <f t="shared" si="18"/>
        <v>135.59591368045932</v>
      </c>
      <c r="Q34" s="136">
        <f t="shared" si="19"/>
        <v>45.198637893486442</v>
      </c>
      <c r="R34" s="129">
        <v>9295.3989999999994</v>
      </c>
      <c r="S34" s="130">
        <f t="shared" si="20"/>
        <v>2119.5170000000016</v>
      </c>
      <c r="T34" s="131">
        <f>F34/R34*100</f>
        <v>122.80178613096653</v>
      </c>
    </row>
    <row r="35" spans="1:24" s="128" customFormat="1" ht="56.25" x14ac:dyDescent="0.25">
      <c r="A35" s="126">
        <f>A34+1</f>
        <v>13</v>
      </c>
      <c r="B35" s="156" t="s">
        <v>133</v>
      </c>
      <c r="C35" s="127" t="s">
        <v>132</v>
      </c>
      <c r="D35" s="129">
        <v>1500</v>
      </c>
      <c r="E35" s="129">
        <v>1500</v>
      </c>
      <c r="F35" s="129">
        <f t="shared" si="13"/>
        <v>413.416</v>
      </c>
      <c r="G35" s="129">
        <v>62.843000000000004</v>
      </c>
      <c r="H35" s="129">
        <v>37.42</v>
      </c>
      <c r="I35" s="129">
        <v>122.596</v>
      </c>
      <c r="J35" s="129">
        <v>190.55699999999999</v>
      </c>
      <c r="K35" s="129">
        <v>406</v>
      </c>
      <c r="L35" s="129">
        <f t="shared" si="14"/>
        <v>7.4159999999999968</v>
      </c>
      <c r="M35" s="136">
        <f t="shared" si="15"/>
        <v>101.82660098522167</v>
      </c>
      <c r="N35" s="129">
        <f t="shared" si="16"/>
        <v>500</v>
      </c>
      <c r="O35" s="129">
        <f t="shared" si="17"/>
        <v>-86.584000000000003</v>
      </c>
      <c r="P35" s="136">
        <f t="shared" si="18"/>
        <v>82.683199999999999</v>
      </c>
      <c r="Q35" s="136">
        <f t="shared" si="19"/>
        <v>27.561066666666669</v>
      </c>
      <c r="R35" s="129">
        <v>512.93899999999996</v>
      </c>
      <c r="S35" s="130">
        <f t="shared" si="20"/>
        <v>-99.522999999999968</v>
      </c>
      <c r="T35" s="131">
        <f>F35/R35*100</f>
        <v>80.59749794809909</v>
      </c>
    </row>
    <row r="36" spans="1:24" s="128" customFormat="1" ht="75" x14ac:dyDescent="0.25">
      <c r="A36" s="126">
        <f t="shared" si="42"/>
        <v>14</v>
      </c>
      <c r="B36" s="156" t="s">
        <v>124</v>
      </c>
      <c r="C36" s="127" t="s">
        <v>125</v>
      </c>
      <c r="D36" s="129">
        <v>70</v>
      </c>
      <c r="E36" s="129">
        <v>70</v>
      </c>
      <c r="F36" s="129">
        <f t="shared" si="13"/>
        <v>126.14400000000001</v>
      </c>
      <c r="G36" s="129">
        <v>0</v>
      </c>
      <c r="H36" s="129">
        <v>51.962000000000003</v>
      </c>
      <c r="I36" s="129">
        <v>37.182000000000002</v>
      </c>
      <c r="J36" s="129">
        <v>37</v>
      </c>
      <c r="K36" s="129">
        <v>70</v>
      </c>
      <c r="L36" s="129">
        <f t="shared" si="14"/>
        <v>56.144000000000005</v>
      </c>
      <c r="M36" s="136">
        <f t="shared" si="15"/>
        <v>180.20571428571429</v>
      </c>
      <c r="N36" s="129">
        <f t="shared" si="16"/>
        <v>23.333333333333332</v>
      </c>
      <c r="O36" s="129">
        <f t="shared" si="17"/>
        <v>102.81066666666668</v>
      </c>
      <c r="P36" s="136">
        <f t="shared" si="18"/>
        <v>540.61714285714299</v>
      </c>
      <c r="Q36" s="136">
        <f t="shared" si="19"/>
        <v>180.20571428571429</v>
      </c>
      <c r="R36" s="129">
        <v>16.366</v>
      </c>
      <c r="S36" s="130">
        <f t="shared" si="20"/>
        <v>109.77800000000001</v>
      </c>
      <c r="T36" s="131">
        <f t="shared" ref="T36:T45" si="43">F36/R36*100</f>
        <v>770.76866674813641</v>
      </c>
    </row>
    <row r="37" spans="1:24" s="128" customFormat="1" ht="23.25" x14ac:dyDescent="0.25">
      <c r="A37" s="126">
        <f t="shared" si="42"/>
        <v>15</v>
      </c>
      <c r="B37" s="156" t="s">
        <v>79</v>
      </c>
      <c r="C37" s="127" t="s">
        <v>78</v>
      </c>
      <c r="D37" s="129">
        <f>SUM(D38:D41)</f>
        <v>53583</v>
      </c>
      <c r="E37" s="129">
        <f>SUM(E38:E41)</f>
        <v>53583</v>
      </c>
      <c r="F37" s="129">
        <f t="shared" si="13"/>
        <v>12193.002</v>
      </c>
      <c r="G37" s="129">
        <f>SUM(G38:G41)</f>
        <v>2691.8269999999998</v>
      </c>
      <c r="H37" s="129">
        <f t="shared" ref="H37:J37" si="44">SUM(H38:H41)</f>
        <v>2735.317</v>
      </c>
      <c r="I37" s="129">
        <f t="shared" ref="I37" si="45">SUM(I38:I41)</f>
        <v>3432.0859999999998</v>
      </c>
      <c r="J37" s="129">
        <f t="shared" si="44"/>
        <v>3333.7719999999999</v>
      </c>
      <c r="K37" s="129">
        <f>SUM(K38:K41)</f>
        <v>12021.4</v>
      </c>
      <c r="L37" s="129">
        <f t="shared" si="14"/>
        <v>171.60200000000077</v>
      </c>
      <c r="M37" s="136">
        <f t="shared" si="15"/>
        <v>101.42747101003211</v>
      </c>
      <c r="N37" s="129">
        <f t="shared" si="16"/>
        <v>17861</v>
      </c>
      <c r="O37" s="129">
        <f t="shared" si="17"/>
        <v>-5667.9979999999996</v>
      </c>
      <c r="P37" s="136">
        <f t="shared" si="18"/>
        <v>68.266065729802364</v>
      </c>
      <c r="Q37" s="136">
        <f t="shared" si="19"/>
        <v>22.755355243267456</v>
      </c>
      <c r="R37" s="129">
        <f t="shared" ref="R37" si="46">SUM(R38:R41)</f>
        <v>15897.885999999999</v>
      </c>
      <c r="S37" s="130">
        <f t="shared" si="20"/>
        <v>-3704.8839999999982</v>
      </c>
      <c r="T37" s="131">
        <f t="shared" si="43"/>
        <v>76.695744327264649</v>
      </c>
    </row>
    <row r="38" spans="1:24" s="66" customFormat="1" ht="56.25" x14ac:dyDescent="0.25">
      <c r="A38" s="63" t="s">
        <v>160</v>
      </c>
      <c r="B38" s="157" t="s">
        <v>71</v>
      </c>
      <c r="C38" s="168" t="s">
        <v>70</v>
      </c>
      <c r="D38" s="132">
        <v>1550</v>
      </c>
      <c r="E38" s="132">
        <v>1550</v>
      </c>
      <c r="F38" s="132">
        <f t="shared" si="13"/>
        <v>552.19499999999994</v>
      </c>
      <c r="G38" s="132">
        <v>115.52500000000001</v>
      </c>
      <c r="H38" s="132">
        <v>137</v>
      </c>
      <c r="I38" s="132">
        <v>140.49</v>
      </c>
      <c r="J38" s="132">
        <v>159.18</v>
      </c>
      <c r="K38" s="132">
        <v>541.5</v>
      </c>
      <c r="L38" s="132">
        <f t="shared" si="14"/>
        <v>10.694999999999936</v>
      </c>
      <c r="M38" s="118">
        <f t="shared" si="15"/>
        <v>101.97506925207756</v>
      </c>
      <c r="N38" s="132">
        <f t="shared" si="16"/>
        <v>516.66666666666663</v>
      </c>
      <c r="O38" s="132">
        <f t="shared" si="17"/>
        <v>35.528333333333308</v>
      </c>
      <c r="P38" s="118">
        <f t="shared" si="18"/>
        <v>106.87645161290322</v>
      </c>
      <c r="Q38" s="118">
        <f t="shared" si="19"/>
        <v>35.625483870967741</v>
      </c>
      <c r="R38" s="132">
        <v>480.83800000000002</v>
      </c>
      <c r="S38" s="92">
        <f t="shared" si="20"/>
        <v>71.356999999999914</v>
      </c>
      <c r="T38" s="93">
        <f t="shared" si="43"/>
        <v>114.84013326733742</v>
      </c>
      <c r="U38" s="93">
        <f>T38-100</f>
        <v>14.840133267337421</v>
      </c>
      <c r="V38" s="64"/>
    </row>
    <row r="39" spans="1:24" s="66" customFormat="1" ht="23.25" x14ac:dyDescent="0.25">
      <c r="A39" s="63" t="s">
        <v>161</v>
      </c>
      <c r="B39" s="158" t="s">
        <v>58</v>
      </c>
      <c r="C39" s="54" t="s">
        <v>59</v>
      </c>
      <c r="D39" s="132">
        <v>51000</v>
      </c>
      <c r="E39" s="132">
        <v>51000</v>
      </c>
      <c r="F39" s="132">
        <f t="shared" si="13"/>
        <v>11357.584999999999</v>
      </c>
      <c r="G39" s="132">
        <v>2480.1179999999999</v>
      </c>
      <c r="H39" s="132">
        <v>2553.8609999999999</v>
      </c>
      <c r="I39" s="132">
        <v>3232.8339999999998</v>
      </c>
      <c r="J39" s="132">
        <v>3090.7719999999999</v>
      </c>
      <c r="K39" s="132">
        <v>11200</v>
      </c>
      <c r="L39" s="132">
        <f t="shared" si="14"/>
        <v>157.58499999999913</v>
      </c>
      <c r="M39" s="118">
        <f t="shared" si="15"/>
        <v>101.40700892857141</v>
      </c>
      <c r="N39" s="132">
        <f t="shared" si="16"/>
        <v>17000</v>
      </c>
      <c r="O39" s="132">
        <f t="shared" si="17"/>
        <v>-5642.4150000000009</v>
      </c>
      <c r="P39" s="118">
        <f t="shared" si="18"/>
        <v>66.809323529411756</v>
      </c>
      <c r="Q39" s="118">
        <f t="shared" si="19"/>
        <v>22.26977450980392</v>
      </c>
      <c r="R39" s="132">
        <v>15078.848</v>
      </c>
      <c r="S39" s="92">
        <f t="shared" si="20"/>
        <v>-3721.2630000000008</v>
      </c>
      <c r="T39" s="93">
        <f t="shared" si="43"/>
        <v>75.321304386117546</v>
      </c>
      <c r="U39" s="93">
        <f>T39-100</f>
        <v>-24.678695613882454</v>
      </c>
      <c r="V39" s="65"/>
    </row>
    <row r="40" spans="1:24" s="66" customFormat="1" ht="37.5" x14ac:dyDescent="0.25">
      <c r="A40" s="63" t="s">
        <v>162</v>
      </c>
      <c r="B40" s="158" t="s">
        <v>75</v>
      </c>
      <c r="C40" s="54" t="s">
        <v>72</v>
      </c>
      <c r="D40" s="132">
        <v>910</v>
      </c>
      <c r="E40" s="132">
        <v>910</v>
      </c>
      <c r="F40" s="132">
        <f t="shared" si="13"/>
        <v>255.24200000000002</v>
      </c>
      <c r="G40" s="132">
        <v>86.853999999999999</v>
      </c>
      <c r="H40" s="132">
        <v>42.456000000000003</v>
      </c>
      <c r="I40" s="132">
        <v>58.762</v>
      </c>
      <c r="J40" s="132">
        <v>67.17</v>
      </c>
      <c r="K40" s="132">
        <v>252</v>
      </c>
      <c r="L40" s="132">
        <f t="shared" si="14"/>
        <v>3.2420000000000186</v>
      </c>
      <c r="M40" s="118">
        <f t="shared" si="15"/>
        <v>101.28650793650795</v>
      </c>
      <c r="N40" s="132">
        <f t="shared" si="16"/>
        <v>303.33333333333331</v>
      </c>
      <c r="O40" s="132">
        <f t="shared" si="17"/>
        <v>-48.091333333333296</v>
      </c>
      <c r="P40" s="118">
        <f t="shared" si="18"/>
        <v>84.145714285714305</v>
      </c>
      <c r="Q40" s="118">
        <f t="shared" si="19"/>
        <v>28.048571428571428</v>
      </c>
      <c r="R40" s="132">
        <v>306.74</v>
      </c>
      <c r="S40" s="92">
        <f t="shared" ref="S40:S71" si="47">F40-R40</f>
        <v>-51.49799999999999</v>
      </c>
      <c r="T40" s="93">
        <f t="shared" si="43"/>
        <v>83.211188628806156</v>
      </c>
    </row>
    <row r="41" spans="1:24" s="66" customFormat="1" ht="93.75" x14ac:dyDescent="0.25">
      <c r="A41" s="63" t="s">
        <v>163</v>
      </c>
      <c r="B41" s="159" t="s">
        <v>74</v>
      </c>
      <c r="C41" s="54" t="s">
        <v>73</v>
      </c>
      <c r="D41" s="132">
        <v>123</v>
      </c>
      <c r="E41" s="132">
        <v>123</v>
      </c>
      <c r="F41" s="132">
        <f t="shared" si="13"/>
        <v>27.979999999999997</v>
      </c>
      <c r="G41" s="132">
        <v>9.33</v>
      </c>
      <c r="H41" s="132">
        <v>2</v>
      </c>
      <c r="I41" s="132">
        <v>0</v>
      </c>
      <c r="J41" s="132">
        <v>16.649999999999999</v>
      </c>
      <c r="K41" s="132">
        <v>27.9</v>
      </c>
      <c r="L41" s="132">
        <f t="shared" si="14"/>
        <v>7.9999999999998295E-2</v>
      </c>
      <c r="M41" s="118">
        <f t="shared" si="15"/>
        <v>100.28673835125448</v>
      </c>
      <c r="N41" s="132">
        <f t="shared" si="16"/>
        <v>41</v>
      </c>
      <c r="O41" s="132">
        <f t="shared" si="17"/>
        <v>-13.020000000000003</v>
      </c>
      <c r="P41" s="118">
        <f t="shared" si="18"/>
        <v>68.243902439024382</v>
      </c>
      <c r="Q41" s="118">
        <f t="shared" si="19"/>
        <v>22.747967479674795</v>
      </c>
      <c r="R41" s="132">
        <v>31.459999999999997</v>
      </c>
      <c r="S41" s="92">
        <f t="shared" si="47"/>
        <v>-3.4800000000000004</v>
      </c>
      <c r="T41" s="93">
        <f t="shared" si="43"/>
        <v>88.938334392879852</v>
      </c>
    </row>
    <row r="42" spans="1:24" s="128" customFormat="1" ht="37.5" x14ac:dyDescent="0.25">
      <c r="A42" s="126">
        <v>16</v>
      </c>
      <c r="B42" s="155" t="s">
        <v>164</v>
      </c>
      <c r="C42" s="127" t="s">
        <v>165</v>
      </c>
      <c r="D42" s="129">
        <v>7035</v>
      </c>
      <c r="E42" s="129">
        <v>7035</v>
      </c>
      <c r="F42" s="129">
        <f t="shared" si="13"/>
        <v>0</v>
      </c>
      <c r="G42" s="129">
        <v>0</v>
      </c>
      <c r="H42" s="129">
        <v>0</v>
      </c>
      <c r="I42" s="129">
        <v>0</v>
      </c>
      <c r="J42" s="129">
        <v>0</v>
      </c>
      <c r="K42" s="129">
        <v>0</v>
      </c>
      <c r="L42" s="129">
        <f t="shared" si="14"/>
        <v>0</v>
      </c>
      <c r="M42" s="136"/>
      <c r="N42" s="129">
        <f t="shared" si="16"/>
        <v>2345</v>
      </c>
      <c r="O42" s="132">
        <f t="shared" ref="O42" si="48">F42-N42</f>
        <v>-2345</v>
      </c>
      <c r="P42" s="118">
        <f t="shared" ref="P42" si="49">F42/N42*100</f>
        <v>0</v>
      </c>
      <c r="Q42" s="118">
        <f t="shared" ref="Q42" si="50">F42/E42*100</f>
        <v>0</v>
      </c>
      <c r="R42" s="129">
        <v>0</v>
      </c>
      <c r="S42" s="92">
        <f t="shared" si="47"/>
        <v>0</v>
      </c>
      <c r="T42" s="93"/>
    </row>
    <row r="43" spans="1:24" s="128" customFormat="1" ht="56.25" x14ac:dyDescent="0.25">
      <c r="A43" s="126">
        <v>17</v>
      </c>
      <c r="B43" s="155" t="s">
        <v>34</v>
      </c>
      <c r="C43" s="127" t="s">
        <v>19</v>
      </c>
      <c r="D43" s="129">
        <v>17070</v>
      </c>
      <c r="E43" s="129">
        <v>17070</v>
      </c>
      <c r="F43" s="129">
        <f t="shared" si="13"/>
        <v>6142.0619999999999</v>
      </c>
      <c r="G43" s="129">
        <v>1831.607</v>
      </c>
      <c r="H43" s="129">
        <v>1192.134</v>
      </c>
      <c r="I43" s="129">
        <v>1190.4179999999999</v>
      </c>
      <c r="J43" s="129">
        <v>1927.903</v>
      </c>
      <c r="K43" s="129">
        <v>6110</v>
      </c>
      <c r="L43" s="129">
        <f t="shared" si="14"/>
        <v>32.061999999999898</v>
      </c>
      <c r="M43" s="136">
        <f t="shared" si="15"/>
        <v>100.52474631751227</v>
      </c>
      <c r="N43" s="129">
        <f t="shared" si="16"/>
        <v>5690</v>
      </c>
      <c r="O43" s="129">
        <f t="shared" si="17"/>
        <v>452.0619999999999</v>
      </c>
      <c r="P43" s="136">
        <f t="shared" si="18"/>
        <v>107.94485061511423</v>
      </c>
      <c r="Q43" s="136">
        <f t="shared" si="19"/>
        <v>35.981616871704745</v>
      </c>
      <c r="R43" s="129">
        <v>5760.7190000000001</v>
      </c>
      <c r="S43" s="130">
        <f t="shared" si="47"/>
        <v>381.34299999999985</v>
      </c>
      <c r="T43" s="131">
        <f t="shared" si="43"/>
        <v>106.61971187971501</v>
      </c>
      <c r="U43" s="128">
        <v>3831.8429999999998</v>
      </c>
    </row>
    <row r="44" spans="1:24" s="128" customFormat="1" ht="23.25" x14ac:dyDescent="0.25">
      <c r="A44" s="126">
        <f t="shared" ref="A44:A50" si="51">A43+1</f>
        <v>18</v>
      </c>
      <c r="B44" s="151" t="s">
        <v>53</v>
      </c>
      <c r="C44" s="127" t="s">
        <v>15</v>
      </c>
      <c r="D44" s="129">
        <v>687.01599999999996</v>
      </c>
      <c r="E44" s="129">
        <v>687.01599999999996</v>
      </c>
      <c r="F44" s="129">
        <f t="shared" si="13"/>
        <v>173.76900000000001</v>
      </c>
      <c r="G44" s="129">
        <v>69.938000000000002</v>
      </c>
      <c r="H44" s="129">
        <v>31.626000000000001</v>
      </c>
      <c r="I44" s="129">
        <v>30.391999999999999</v>
      </c>
      <c r="J44" s="129">
        <v>41.813000000000002</v>
      </c>
      <c r="K44" s="129">
        <v>172</v>
      </c>
      <c r="L44" s="129">
        <f t="shared" si="14"/>
        <v>1.7690000000000055</v>
      </c>
      <c r="M44" s="136">
        <f t="shared" si="15"/>
        <v>101.02848837209302</v>
      </c>
      <c r="N44" s="129">
        <f t="shared" si="16"/>
        <v>229.00533333333331</v>
      </c>
      <c r="O44" s="129">
        <f t="shared" si="17"/>
        <v>-55.236333333333306</v>
      </c>
      <c r="P44" s="136">
        <f t="shared" si="18"/>
        <v>75.879892171361377</v>
      </c>
      <c r="Q44" s="136">
        <f t="shared" si="19"/>
        <v>25.293297390453791</v>
      </c>
      <c r="R44" s="129">
        <v>186.00400000000002</v>
      </c>
      <c r="S44" s="130">
        <f t="shared" si="47"/>
        <v>-12.235000000000014</v>
      </c>
      <c r="T44" s="131">
        <f t="shared" si="43"/>
        <v>93.42218446915119</v>
      </c>
      <c r="U44" s="62">
        <f>100-T44</f>
        <v>6.5778155308488095</v>
      </c>
    </row>
    <row r="45" spans="1:24" s="128" customFormat="1" ht="93.75" x14ac:dyDescent="0.25">
      <c r="A45" s="126">
        <f t="shared" si="51"/>
        <v>19</v>
      </c>
      <c r="B45" s="151" t="s">
        <v>91</v>
      </c>
      <c r="C45" s="127" t="s">
        <v>90</v>
      </c>
      <c r="D45" s="129">
        <v>54</v>
      </c>
      <c r="E45" s="129">
        <v>54</v>
      </c>
      <c r="F45" s="129">
        <f t="shared" si="13"/>
        <v>31.556000000000001</v>
      </c>
      <c r="G45" s="129">
        <v>9.3330000000000002</v>
      </c>
      <c r="H45" s="129">
        <v>11.159000000000001</v>
      </c>
      <c r="I45" s="129">
        <v>0</v>
      </c>
      <c r="J45" s="129">
        <v>11.064</v>
      </c>
      <c r="K45" s="129">
        <v>31.4</v>
      </c>
      <c r="L45" s="129">
        <f t="shared" si="14"/>
        <v>0.15600000000000236</v>
      </c>
      <c r="M45" s="136">
        <f t="shared" si="15"/>
        <v>100.49681528662421</v>
      </c>
      <c r="N45" s="129">
        <f t="shared" si="16"/>
        <v>18</v>
      </c>
      <c r="O45" s="129">
        <f t="shared" si="17"/>
        <v>13.556000000000001</v>
      </c>
      <c r="P45" s="136">
        <f t="shared" si="18"/>
        <v>175.3111111111111</v>
      </c>
      <c r="Q45" s="136">
        <f t="shared" si="19"/>
        <v>58.437037037037044</v>
      </c>
      <c r="R45" s="129">
        <v>11.173999999999999</v>
      </c>
      <c r="S45" s="130">
        <f t="shared" si="47"/>
        <v>20.382000000000001</v>
      </c>
      <c r="T45" s="131">
        <f t="shared" si="43"/>
        <v>282.40558439233939</v>
      </c>
    </row>
    <row r="46" spans="1:24" s="128" customFormat="1" ht="23.25" x14ac:dyDescent="0.25">
      <c r="A46" s="126">
        <f t="shared" si="51"/>
        <v>20</v>
      </c>
      <c r="B46" s="153" t="s">
        <v>60</v>
      </c>
      <c r="C46" s="31" t="s">
        <v>61</v>
      </c>
      <c r="D46" s="129">
        <v>500</v>
      </c>
      <c r="E46" s="129">
        <v>500</v>
      </c>
      <c r="F46" s="129">
        <f t="shared" si="13"/>
        <v>0</v>
      </c>
      <c r="G46" s="129">
        <v>0</v>
      </c>
      <c r="H46" s="129">
        <v>0</v>
      </c>
      <c r="I46" s="129">
        <v>0</v>
      </c>
      <c r="J46" s="129">
        <v>0</v>
      </c>
      <c r="K46" s="129">
        <v>0</v>
      </c>
      <c r="L46" s="129">
        <f t="shared" si="14"/>
        <v>0</v>
      </c>
      <c r="M46" s="136"/>
      <c r="N46" s="129">
        <f t="shared" si="16"/>
        <v>166.66666666666666</v>
      </c>
      <c r="O46" s="129">
        <f t="shared" si="17"/>
        <v>-166.66666666666666</v>
      </c>
      <c r="P46" s="136">
        <f t="shared" si="18"/>
        <v>0</v>
      </c>
      <c r="Q46" s="136">
        <f t="shared" si="19"/>
        <v>0</v>
      </c>
      <c r="R46" s="129">
        <v>0</v>
      </c>
      <c r="S46" s="130">
        <f t="shared" si="47"/>
        <v>0</v>
      </c>
      <c r="T46" s="131"/>
    </row>
    <row r="47" spans="1:24" s="128" customFormat="1" ht="23.25" x14ac:dyDescent="0.25">
      <c r="A47" s="126">
        <f t="shared" si="51"/>
        <v>21</v>
      </c>
      <c r="B47" s="151" t="s">
        <v>8</v>
      </c>
      <c r="C47" s="127" t="s">
        <v>20</v>
      </c>
      <c r="D47" s="129">
        <v>4000</v>
      </c>
      <c r="E47" s="129">
        <v>4191</v>
      </c>
      <c r="F47" s="129">
        <f t="shared" si="13"/>
        <v>3773.1310000000003</v>
      </c>
      <c r="G47" s="129">
        <v>505.59100000000001</v>
      </c>
      <c r="H47" s="129">
        <v>931.06200000000001</v>
      </c>
      <c r="I47" s="129">
        <v>2055.2510000000002</v>
      </c>
      <c r="J47" s="129">
        <v>281.22699999999998</v>
      </c>
      <c r="K47" s="129">
        <v>3695</v>
      </c>
      <c r="L47" s="129">
        <f t="shared" si="14"/>
        <v>78.131000000000313</v>
      </c>
      <c r="M47" s="136">
        <f t="shared" si="15"/>
        <v>102.1145060893099</v>
      </c>
      <c r="N47" s="129">
        <f t="shared" si="16"/>
        <v>1397</v>
      </c>
      <c r="O47" s="129">
        <f t="shared" si="17"/>
        <v>2376.1310000000003</v>
      </c>
      <c r="P47" s="136">
        <f t="shared" si="18"/>
        <v>270.08811739441666</v>
      </c>
      <c r="Q47" s="136">
        <f t="shared" si="19"/>
        <v>90.029372464805547</v>
      </c>
      <c r="R47" s="129">
        <v>4467.1149999999998</v>
      </c>
      <c r="S47" s="130">
        <f t="shared" si="47"/>
        <v>-693.98399999999947</v>
      </c>
      <c r="T47" s="131">
        <f>F47/R47*100</f>
        <v>84.464604112497682</v>
      </c>
      <c r="X47" s="128">
        <v>246438.04</v>
      </c>
    </row>
    <row r="48" spans="1:24" s="128" customFormat="1" ht="150" x14ac:dyDescent="0.25">
      <c r="A48" s="126">
        <f t="shared" si="51"/>
        <v>22</v>
      </c>
      <c r="B48" s="151" t="s">
        <v>52</v>
      </c>
      <c r="C48" s="127" t="s">
        <v>46</v>
      </c>
      <c r="D48" s="129">
        <v>8000</v>
      </c>
      <c r="E48" s="129">
        <v>8000</v>
      </c>
      <c r="F48" s="129">
        <f t="shared" si="13"/>
        <v>1502.076</v>
      </c>
      <c r="G48" s="129">
        <v>302.25299999999999</v>
      </c>
      <c r="H48" s="129">
        <v>224.333</v>
      </c>
      <c r="I48" s="129">
        <v>800.66399999999999</v>
      </c>
      <c r="J48" s="129">
        <v>174.82599999999999</v>
      </c>
      <c r="K48" s="129">
        <v>1502</v>
      </c>
      <c r="L48" s="129">
        <f t="shared" si="14"/>
        <v>7.6000000000021828E-2</v>
      </c>
      <c r="M48" s="136">
        <f t="shared" si="15"/>
        <v>100.00505992010653</v>
      </c>
      <c r="N48" s="129">
        <f t="shared" si="16"/>
        <v>2666.6666666666665</v>
      </c>
      <c r="O48" s="129">
        <f t="shared" si="17"/>
        <v>-1164.5906666666665</v>
      </c>
      <c r="P48" s="136">
        <f t="shared" si="18"/>
        <v>56.327849999999998</v>
      </c>
      <c r="Q48" s="136">
        <f t="shared" si="19"/>
        <v>18.775949999999998</v>
      </c>
      <c r="R48" s="129">
        <v>459.92999999999995</v>
      </c>
      <c r="S48" s="130">
        <f t="shared" si="47"/>
        <v>1042.1460000000002</v>
      </c>
      <c r="T48" s="131">
        <f>F48/R48*100</f>
        <v>326.58795903724484</v>
      </c>
    </row>
    <row r="49" spans="1:27" s="128" customFormat="1" ht="75" x14ac:dyDescent="0.25">
      <c r="A49" s="126">
        <f t="shared" si="51"/>
        <v>23</v>
      </c>
      <c r="B49" s="151" t="s">
        <v>116</v>
      </c>
      <c r="C49" s="127" t="s">
        <v>115</v>
      </c>
      <c r="D49" s="129">
        <v>50</v>
      </c>
      <c r="E49" s="129">
        <v>50</v>
      </c>
      <c r="F49" s="129">
        <f t="shared" si="13"/>
        <v>0</v>
      </c>
      <c r="G49" s="129">
        <v>0</v>
      </c>
      <c r="H49" s="129">
        <v>0</v>
      </c>
      <c r="I49" s="129">
        <v>0</v>
      </c>
      <c r="J49" s="129">
        <v>0</v>
      </c>
      <c r="K49" s="129">
        <v>0</v>
      </c>
      <c r="L49" s="129">
        <f t="shared" si="14"/>
        <v>0</v>
      </c>
      <c r="M49" s="136"/>
      <c r="N49" s="129">
        <f t="shared" si="16"/>
        <v>16.666666666666668</v>
      </c>
      <c r="O49" s="129">
        <f t="shared" si="17"/>
        <v>-16.666666666666668</v>
      </c>
      <c r="P49" s="136">
        <f t="shared" si="18"/>
        <v>0</v>
      </c>
      <c r="Q49" s="136">
        <f t="shared" si="19"/>
        <v>0</v>
      </c>
      <c r="R49" s="129">
        <v>85.634999999999991</v>
      </c>
      <c r="S49" s="130">
        <f t="shared" si="47"/>
        <v>-85.634999999999991</v>
      </c>
      <c r="T49" s="131">
        <f t="shared" ref="T49" si="52">F49/R49*100</f>
        <v>0</v>
      </c>
      <c r="V49" s="61">
        <f>F51-F47</f>
        <v>2531278.4009999996</v>
      </c>
      <c r="W49" s="61">
        <f>R51-R47</f>
        <v>2095485.6820000003</v>
      </c>
      <c r="X49" s="62">
        <f>V49/W49</f>
        <v>1.2079674047612983</v>
      </c>
    </row>
    <row r="50" spans="1:27" s="128" customFormat="1" ht="37.5" x14ac:dyDescent="0.25">
      <c r="A50" s="126">
        <f t="shared" si="51"/>
        <v>24</v>
      </c>
      <c r="B50" s="151" t="s">
        <v>81</v>
      </c>
      <c r="C50" s="127" t="s">
        <v>80</v>
      </c>
      <c r="D50" s="129">
        <v>0.1</v>
      </c>
      <c r="E50" s="129">
        <v>0.21</v>
      </c>
      <c r="F50" s="129">
        <f t="shared" si="13"/>
        <v>0.21199999999999999</v>
      </c>
      <c r="G50" s="129">
        <v>0.21199999999999999</v>
      </c>
      <c r="H50" s="129">
        <v>0</v>
      </c>
      <c r="I50" s="129">
        <v>0</v>
      </c>
      <c r="J50" s="129">
        <v>0</v>
      </c>
      <c r="K50" s="129">
        <v>0.21</v>
      </c>
      <c r="L50" s="129">
        <f t="shared" si="14"/>
        <v>2.0000000000000018E-3</v>
      </c>
      <c r="M50" s="136">
        <f t="shared" si="15"/>
        <v>100.95238095238095</v>
      </c>
      <c r="N50" s="129">
        <f t="shared" si="16"/>
        <v>6.9999999999999993E-2</v>
      </c>
      <c r="O50" s="129">
        <f t="shared" si="17"/>
        <v>0.14200000000000002</v>
      </c>
      <c r="P50" s="136">
        <f t="shared" si="18"/>
        <v>302.85714285714289</v>
      </c>
      <c r="Q50" s="136">
        <f t="shared" si="19"/>
        <v>100.95238095238095</v>
      </c>
      <c r="R50" s="129">
        <v>0</v>
      </c>
      <c r="S50" s="130">
        <f t="shared" si="47"/>
        <v>0.21199999999999999</v>
      </c>
      <c r="T50" s="131"/>
    </row>
    <row r="51" spans="1:27" s="69" customFormat="1" ht="34.5" customHeight="1" x14ac:dyDescent="0.3">
      <c r="A51" s="183" t="s">
        <v>148</v>
      </c>
      <c r="B51" s="183"/>
      <c r="C51" s="183"/>
      <c r="D51" s="145">
        <f>D7+D8+D9+D14+D22+D28+D29+D30+D31+D32+D33+D34+D37+D43+D44+D45+D46+D47+D48+D50+D49+D36+D35+D42</f>
        <v>7589718.675999999</v>
      </c>
      <c r="E51" s="145">
        <f>E7+E8+E9+E14+E22+E28+E29+E30+E31+E32+E33+E34+E37+E43+E44+E45+E46+E47+E48+E50+E49+E36+E35+E42</f>
        <v>7735793.676</v>
      </c>
      <c r="F51" s="145">
        <f t="shared" si="13"/>
        <v>2535051.5319999997</v>
      </c>
      <c r="G51" s="145">
        <f>G7+G8+G9+G14+G22+G28+G29+G30+G31+G32+G33+G34+G37+G43+G44+G45+G46+G47+G48+G50+G49+G36+G35+G21</f>
        <v>609143.09500000009</v>
      </c>
      <c r="H51" s="145">
        <f>H7+H8+H9+H14+H22+H28+H29+H30+H31+H32+H33+H34+H37+H43+H44+H45+H46+H47+H48+H50+H49+H36+H35+H21</f>
        <v>633471.55300000007</v>
      </c>
      <c r="I51" s="145">
        <f>I7+I8+I9+I14+I22+I28+I29+I30+I31+I32+I33+I34+I37+I43+I44+I45+I46+I47+I48+I50+I49+I36+I35+I21</f>
        <v>566876.17699999991</v>
      </c>
      <c r="J51" s="145">
        <f>J7+J8+J9+J14+J22+J28+J29+J30+J31+J32+J33+J34+J37+J43+J44+J45+J46+J47+J48+J50+J49+J36+J35+J21</f>
        <v>725560.70699999994</v>
      </c>
      <c r="K51" s="145">
        <f>K7+K8+K9+K14+K22+K28+K29+K30+K31+K32+K33+K34+K37+K43+K44+K45+K46+K47+K48+K50+K49+K36+K35</f>
        <v>2278986.8999999994</v>
      </c>
      <c r="L51" s="145">
        <f t="shared" si="14"/>
        <v>256064.63200000022</v>
      </c>
      <c r="M51" s="119">
        <f t="shared" si="15"/>
        <v>111.23589749462799</v>
      </c>
      <c r="N51" s="145">
        <f>N7+N8+N9+N14+N22+N28+N29+N30+N31+N32+N33+N34+N37+N43+N44+N45+N46+N47+N48+N50+N49+N36+N35+N21+N42</f>
        <v>2578597.8919999991</v>
      </c>
      <c r="O51" s="145">
        <f t="shared" si="17"/>
        <v>-43546.359999999404</v>
      </c>
      <c r="P51" s="119">
        <f t="shared" si="18"/>
        <v>98.311238827306099</v>
      </c>
      <c r="Q51" s="119">
        <f t="shared" si="19"/>
        <v>32.770412942435357</v>
      </c>
      <c r="R51" s="145">
        <f>R7+R8+R9+R14+R22+R28+R29+R30+R31+R32+R33+R34+R37+R43+R44+R45+R46+R47+R48+R50+R49+R36+R35+R21</f>
        <v>2099952.7970000003</v>
      </c>
      <c r="S51" s="67">
        <f t="shared" si="47"/>
        <v>435098.7349999994</v>
      </c>
      <c r="T51" s="68">
        <f>F51/R51*100</f>
        <v>120.71945310492612</v>
      </c>
      <c r="U51" s="145">
        <v>2099952.7970000003</v>
      </c>
      <c r="V51" s="70">
        <f>U51-R51</f>
        <v>0</v>
      </c>
      <c r="Y51" s="70" t="e">
        <f>#REF!-#REF!-#REF!</f>
        <v>#REF!</v>
      </c>
      <c r="AA51" s="69">
        <v>294547.38299999997</v>
      </c>
    </row>
    <row r="52" spans="1:27" s="9" customFormat="1" ht="86.25" x14ac:dyDescent="0.25">
      <c r="A52" s="23">
        <v>1</v>
      </c>
      <c r="B52" s="147" t="s">
        <v>173</v>
      </c>
      <c r="C52" s="24" t="s">
        <v>174</v>
      </c>
      <c r="D52" s="133">
        <v>30609.4</v>
      </c>
      <c r="E52" s="133">
        <v>30609.4</v>
      </c>
      <c r="F52" s="129">
        <f t="shared" si="13"/>
        <v>10203.200000000001</v>
      </c>
      <c r="G52" s="129">
        <v>2550.8000000000002</v>
      </c>
      <c r="H52" s="129">
        <v>2550.8000000000002</v>
      </c>
      <c r="I52" s="129">
        <v>2550.8000000000002</v>
      </c>
      <c r="J52" s="129">
        <v>2550.8000000000002</v>
      </c>
      <c r="K52" s="129">
        <v>10203.200000000001</v>
      </c>
      <c r="L52" s="129">
        <f t="shared" ref="L52:L55" si="53">F52-K52</f>
        <v>0</v>
      </c>
      <c r="M52" s="136">
        <f t="shared" ref="M52:M53" si="54">F52/K52*100</f>
        <v>100</v>
      </c>
      <c r="N52" s="129">
        <f>K52</f>
        <v>10203.200000000001</v>
      </c>
      <c r="O52" s="129">
        <f t="shared" ref="O52:O55" si="55">F52-N52</f>
        <v>0</v>
      </c>
      <c r="P52" s="136">
        <f t="shared" ref="P52:P53" si="56">F52/N52*100</f>
        <v>100</v>
      </c>
      <c r="Q52" s="136">
        <f t="shared" ref="Q52:Q53" si="57">F52/E52*100</f>
        <v>33.333551131351804</v>
      </c>
      <c r="R52" s="129"/>
      <c r="S52" s="130">
        <f t="shared" si="47"/>
        <v>10203.200000000001</v>
      </c>
      <c r="T52" s="131"/>
      <c r="U52" s="36"/>
      <c r="V52" s="36"/>
      <c r="W52" s="36"/>
      <c r="X52" s="38"/>
    </row>
    <row r="53" spans="1:27" s="9" customFormat="1" ht="40.5" customHeight="1" x14ac:dyDescent="0.25">
      <c r="A53" s="23">
        <f>A52+1</f>
        <v>2</v>
      </c>
      <c r="B53" s="147" t="s">
        <v>175</v>
      </c>
      <c r="C53" s="24" t="s">
        <v>176</v>
      </c>
      <c r="D53" s="133"/>
      <c r="E53" s="133">
        <v>68411.899999999994</v>
      </c>
      <c r="F53" s="129">
        <f t="shared" si="13"/>
        <v>54729.599999999999</v>
      </c>
      <c r="G53" s="129">
        <v>13682.4</v>
      </c>
      <c r="H53" s="129">
        <v>13682.4</v>
      </c>
      <c r="I53" s="129">
        <v>13682.4</v>
      </c>
      <c r="J53" s="129">
        <v>13682.4</v>
      </c>
      <c r="K53" s="129">
        <v>54729.599999999999</v>
      </c>
      <c r="L53" s="129">
        <f t="shared" si="53"/>
        <v>0</v>
      </c>
      <c r="M53" s="136">
        <f t="shared" si="54"/>
        <v>100</v>
      </c>
      <c r="N53" s="129">
        <f t="shared" ref="N53:N70" si="58">K53</f>
        <v>54729.599999999999</v>
      </c>
      <c r="O53" s="129">
        <f t="shared" si="55"/>
        <v>0</v>
      </c>
      <c r="P53" s="136">
        <f t="shared" si="56"/>
        <v>100</v>
      </c>
      <c r="Q53" s="136">
        <f t="shared" si="57"/>
        <v>80.000116938719728</v>
      </c>
      <c r="R53" s="129"/>
      <c r="S53" s="130">
        <f t="shared" si="47"/>
        <v>54729.599999999999</v>
      </c>
      <c r="T53" s="131"/>
      <c r="U53" s="36"/>
      <c r="V53" s="36"/>
      <c r="W53" s="36"/>
      <c r="X53" s="38"/>
    </row>
    <row r="54" spans="1:27" s="9" customFormat="1" ht="103.5" x14ac:dyDescent="0.25">
      <c r="A54" s="23">
        <f t="shared" ref="A54:A64" si="59">A53+1</f>
        <v>3</v>
      </c>
      <c r="B54" s="147" t="s">
        <v>202</v>
      </c>
      <c r="C54" s="24" t="s">
        <v>201</v>
      </c>
      <c r="D54" s="133"/>
      <c r="E54" s="133"/>
      <c r="F54" s="129">
        <f t="shared" si="13"/>
        <v>9551.4789999999994</v>
      </c>
      <c r="G54" s="129"/>
      <c r="H54" s="129"/>
      <c r="I54" s="129"/>
      <c r="J54" s="129">
        <v>9551.4789999999994</v>
      </c>
      <c r="K54" s="129">
        <v>0</v>
      </c>
      <c r="L54" s="129">
        <f t="shared" ref="L54" si="60">F54-K54</f>
        <v>9551.4789999999994</v>
      </c>
      <c r="M54" s="136"/>
      <c r="N54" s="129">
        <f t="shared" ref="N54" si="61">K54</f>
        <v>0</v>
      </c>
      <c r="O54" s="129">
        <f t="shared" ref="O54" si="62">F54-N54</f>
        <v>9551.4789999999994</v>
      </c>
      <c r="P54" s="136"/>
      <c r="Q54" s="136"/>
      <c r="R54" s="129"/>
      <c r="S54" s="130">
        <f t="shared" si="47"/>
        <v>9551.4789999999994</v>
      </c>
      <c r="T54" s="131"/>
      <c r="U54" s="36"/>
      <c r="V54" s="36"/>
      <c r="W54" s="36"/>
      <c r="X54" s="38"/>
    </row>
    <row r="55" spans="1:27" s="9" customFormat="1" ht="103.5" x14ac:dyDescent="0.25">
      <c r="A55" s="23">
        <f t="shared" si="59"/>
        <v>4</v>
      </c>
      <c r="B55" s="147" t="s">
        <v>200</v>
      </c>
      <c r="C55" s="24" t="s">
        <v>199</v>
      </c>
      <c r="D55" s="133"/>
      <c r="E55" s="133">
        <v>5630.1</v>
      </c>
      <c r="F55" s="129">
        <f t="shared" si="13"/>
        <v>5630.1</v>
      </c>
      <c r="G55" s="129"/>
      <c r="H55" s="129"/>
      <c r="I55" s="129"/>
      <c r="J55" s="129">
        <v>5630.1</v>
      </c>
      <c r="K55" s="129">
        <v>5630.1</v>
      </c>
      <c r="L55" s="129">
        <f t="shared" si="53"/>
        <v>0</v>
      </c>
      <c r="M55" s="136">
        <f t="shared" si="15"/>
        <v>100</v>
      </c>
      <c r="N55" s="129">
        <f t="shared" si="58"/>
        <v>5630.1</v>
      </c>
      <c r="O55" s="129">
        <f t="shared" si="55"/>
        <v>0</v>
      </c>
      <c r="P55" s="136">
        <f t="shared" si="18"/>
        <v>100</v>
      </c>
      <c r="Q55" s="136">
        <f t="shared" ref="Q55" si="63">F55/E55*100</f>
        <v>100</v>
      </c>
      <c r="R55" s="129"/>
      <c r="S55" s="130">
        <f t="shared" si="47"/>
        <v>5630.1</v>
      </c>
      <c r="T55" s="131"/>
      <c r="U55" s="36"/>
      <c r="V55" s="36"/>
      <c r="W55" s="36"/>
      <c r="X55" s="38"/>
    </row>
    <row r="56" spans="1:27" s="9" customFormat="1" ht="23.25" x14ac:dyDescent="0.25">
      <c r="A56" s="23">
        <f t="shared" si="59"/>
        <v>5</v>
      </c>
      <c r="B56" s="147" t="s">
        <v>135</v>
      </c>
      <c r="C56" s="24" t="s">
        <v>54</v>
      </c>
      <c r="D56" s="133"/>
      <c r="E56" s="133">
        <v>842682.8</v>
      </c>
      <c r="F56" s="129">
        <f t="shared" si="13"/>
        <v>385611.6</v>
      </c>
      <c r="G56" s="129">
        <v>96402.9</v>
      </c>
      <c r="H56" s="129">
        <v>96402.9</v>
      </c>
      <c r="I56" s="129">
        <v>96402.9</v>
      </c>
      <c r="J56" s="129">
        <v>96402.9</v>
      </c>
      <c r="K56" s="129">
        <v>385611.6</v>
      </c>
      <c r="L56" s="129">
        <f t="shared" si="14"/>
        <v>0</v>
      </c>
      <c r="M56" s="136">
        <f t="shared" si="15"/>
        <v>100</v>
      </c>
      <c r="N56" s="129">
        <f t="shared" si="58"/>
        <v>385611.6</v>
      </c>
      <c r="O56" s="129">
        <f t="shared" si="17"/>
        <v>0</v>
      </c>
      <c r="P56" s="136">
        <f t="shared" si="18"/>
        <v>100</v>
      </c>
      <c r="Q56" s="136">
        <f t="shared" si="19"/>
        <v>45.759994152010691</v>
      </c>
      <c r="R56" s="129">
        <v>274559.2</v>
      </c>
      <c r="S56" s="130">
        <f t="shared" si="47"/>
        <v>111052.39999999997</v>
      </c>
      <c r="T56" s="131">
        <f t="shared" ref="T56:T59" si="64">F56/R56*100</f>
        <v>140.44752461399946</v>
      </c>
      <c r="U56" s="36"/>
      <c r="V56" s="36"/>
      <c r="W56" s="36"/>
      <c r="X56" s="38"/>
    </row>
    <row r="57" spans="1:27" s="9" customFormat="1" ht="34.5" x14ac:dyDescent="0.25">
      <c r="A57" s="23">
        <f t="shared" si="59"/>
        <v>6</v>
      </c>
      <c r="B57" s="147" t="s">
        <v>167</v>
      </c>
      <c r="C57" s="24" t="s">
        <v>166</v>
      </c>
      <c r="D57" s="133"/>
      <c r="E57" s="133">
        <v>2002</v>
      </c>
      <c r="F57" s="129">
        <f t="shared" si="13"/>
        <v>1334.8</v>
      </c>
      <c r="G57" s="129"/>
      <c r="H57" s="129">
        <v>667.4</v>
      </c>
      <c r="I57" s="129">
        <v>333.7</v>
      </c>
      <c r="J57" s="129">
        <v>333.7</v>
      </c>
      <c r="K57" s="129">
        <v>1334.8</v>
      </c>
      <c r="L57" s="129">
        <f t="shared" si="14"/>
        <v>0</v>
      </c>
      <c r="M57" s="136">
        <f t="shared" si="15"/>
        <v>100</v>
      </c>
      <c r="N57" s="129">
        <f t="shared" si="58"/>
        <v>1334.8</v>
      </c>
      <c r="O57" s="129">
        <f t="shared" ref="O57:O58" si="65">F57-N57</f>
        <v>0</v>
      </c>
      <c r="P57" s="136">
        <f t="shared" ref="P57" si="66">F57/N57*100</f>
        <v>100</v>
      </c>
      <c r="Q57" s="136">
        <f t="shared" si="19"/>
        <v>66.67332667332667</v>
      </c>
      <c r="R57" s="129">
        <v>1412</v>
      </c>
      <c r="S57" s="130">
        <f t="shared" si="47"/>
        <v>-77.200000000000045</v>
      </c>
      <c r="T57" s="131">
        <f t="shared" si="64"/>
        <v>94.532577903682707</v>
      </c>
      <c r="U57" s="36"/>
      <c r="V57" s="36"/>
      <c r="W57" s="36"/>
      <c r="X57" s="38"/>
    </row>
    <row r="58" spans="1:27" s="9" customFormat="1" ht="51.75" x14ac:dyDescent="0.25">
      <c r="A58" s="23">
        <f t="shared" si="59"/>
        <v>7</v>
      </c>
      <c r="B58" s="147" t="s">
        <v>172</v>
      </c>
      <c r="C58" s="24" t="s">
        <v>171</v>
      </c>
      <c r="D58" s="133"/>
      <c r="E58" s="133">
        <v>6918.2</v>
      </c>
      <c r="F58" s="129">
        <f t="shared" si="13"/>
        <v>1383.6</v>
      </c>
      <c r="G58" s="129"/>
      <c r="H58" s="129"/>
      <c r="I58" s="129"/>
      <c r="J58" s="129">
        <v>1383.6</v>
      </c>
      <c r="K58" s="129">
        <v>1383.6</v>
      </c>
      <c r="L58" s="129">
        <f t="shared" si="14"/>
        <v>0</v>
      </c>
      <c r="M58" s="136">
        <f t="shared" si="15"/>
        <v>100</v>
      </c>
      <c r="N58" s="129">
        <f t="shared" si="58"/>
        <v>1383.6</v>
      </c>
      <c r="O58" s="129">
        <f t="shared" si="65"/>
        <v>0</v>
      </c>
      <c r="P58" s="136">
        <f t="shared" ref="P58:P59" si="67">F58/N58*100</f>
        <v>100</v>
      </c>
      <c r="Q58" s="136">
        <f t="shared" si="19"/>
        <v>19.999421814922954</v>
      </c>
      <c r="R58" s="129"/>
      <c r="S58" s="130">
        <f t="shared" si="47"/>
        <v>1383.6</v>
      </c>
      <c r="T58" s="131"/>
      <c r="U58" s="36"/>
      <c r="V58" s="36"/>
      <c r="W58" s="36"/>
      <c r="X58" s="38"/>
    </row>
    <row r="59" spans="1:27" s="9" customFormat="1" ht="34.5" x14ac:dyDescent="0.25">
      <c r="A59" s="23">
        <f t="shared" si="59"/>
        <v>8</v>
      </c>
      <c r="B59" s="147" t="s">
        <v>169</v>
      </c>
      <c r="C59" s="24" t="s">
        <v>168</v>
      </c>
      <c r="D59" s="133"/>
      <c r="E59" s="133">
        <v>82335.600000000006</v>
      </c>
      <c r="F59" s="129">
        <f t="shared" si="13"/>
        <v>54890.400000000001</v>
      </c>
      <c r="G59" s="129">
        <v>13722.6</v>
      </c>
      <c r="H59" s="129">
        <v>13722.6</v>
      </c>
      <c r="I59" s="129">
        <v>13722.6</v>
      </c>
      <c r="J59" s="129">
        <v>13722.6</v>
      </c>
      <c r="K59" s="129">
        <v>54890.400000000001</v>
      </c>
      <c r="L59" s="129">
        <f t="shared" si="14"/>
        <v>0</v>
      </c>
      <c r="M59" s="136">
        <f t="shared" si="15"/>
        <v>100</v>
      </c>
      <c r="N59" s="129">
        <f t="shared" si="58"/>
        <v>54890.400000000001</v>
      </c>
      <c r="O59" s="129">
        <f t="shared" ref="O59:O60" si="68">F59-N59</f>
        <v>0</v>
      </c>
      <c r="P59" s="136">
        <f t="shared" si="67"/>
        <v>100</v>
      </c>
      <c r="Q59" s="136">
        <f t="shared" ref="Q59" si="69">F59/E59*100</f>
        <v>66.666666666666657</v>
      </c>
      <c r="R59" s="129">
        <v>24850.799999999999</v>
      </c>
      <c r="S59" s="130">
        <f t="shared" si="47"/>
        <v>30039.600000000002</v>
      </c>
      <c r="T59" s="131">
        <f t="shared" si="64"/>
        <v>220.87981071031919</v>
      </c>
      <c r="U59" s="36"/>
      <c r="V59" s="36"/>
      <c r="W59" s="36"/>
      <c r="X59" s="38"/>
    </row>
    <row r="60" spans="1:27" s="9" customFormat="1" ht="23.25" x14ac:dyDescent="0.25">
      <c r="A60" s="23">
        <f t="shared" si="59"/>
        <v>9</v>
      </c>
      <c r="B60" s="147" t="s">
        <v>186</v>
      </c>
      <c r="C60" s="24" t="s">
        <v>187</v>
      </c>
      <c r="D60" s="133"/>
      <c r="E60" s="133"/>
      <c r="F60" s="129">
        <f t="shared" si="13"/>
        <v>0</v>
      </c>
      <c r="G60" s="129"/>
      <c r="H60" s="129"/>
      <c r="I60" s="129"/>
      <c r="J60" s="129"/>
      <c r="K60" s="129"/>
      <c r="L60" s="129">
        <f t="shared" si="14"/>
        <v>0</v>
      </c>
      <c r="M60" s="136"/>
      <c r="N60" s="129">
        <f t="shared" si="58"/>
        <v>0</v>
      </c>
      <c r="O60" s="129">
        <f t="shared" si="68"/>
        <v>0</v>
      </c>
      <c r="P60" s="136"/>
      <c r="Q60" s="136"/>
      <c r="R60" s="129">
        <v>1004.4590000000001</v>
      </c>
      <c r="S60" s="130">
        <f t="shared" si="47"/>
        <v>-1004.4590000000001</v>
      </c>
      <c r="T60" s="131"/>
      <c r="U60" s="36"/>
      <c r="V60" s="36"/>
      <c r="W60" s="36"/>
      <c r="X60" s="38"/>
    </row>
    <row r="61" spans="1:27" s="9" customFormat="1" ht="34.5" x14ac:dyDescent="0.25">
      <c r="A61" s="23">
        <f t="shared" si="59"/>
        <v>10</v>
      </c>
      <c r="B61" s="148" t="s">
        <v>136</v>
      </c>
      <c r="C61" s="97" t="s">
        <v>112</v>
      </c>
      <c r="D61" s="133">
        <v>30295.7</v>
      </c>
      <c r="E61" s="133">
        <v>16327.15</v>
      </c>
      <c r="F61" s="129">
        <f t="shared" si="13"/>
        <v>7471.75</v>
      </c>
      <c r="G61" s="129">
        <v>1868.95</v>
      </c>
      <c r="H61" s="129">
        <v>1867.6</v>
      </c>
      <c r="I61" s="129">
        <v>1867.6</v>
      </c>
      <c r="J61" s="129">
        <v>1867.6</v>
      </c>
      <c r="K61" s="129">
        <v>7471.75</v>
      </c>
      <c r="L61" s="129">
        <f t="shared" si="14"/>
        <v>0</v>
      </c>
      <c r="M61" s="136">
        <f t="shared" si="15"/>
        <v>100</v>
      </c>
      <c r="N61" s="129">
        <f t="shared" si="58"/>
        <v>7471.75</v>
      </c>
      <c r="O61" s="129">
        <f t="shared" si="17"/>
        <v>0</v>
      </c>
      <c r="P61" s="136">
        <f t="shared" si="18"/>
        <v>100</v>
      </c>
      <c r="Q61" s="136">
        <f t="shared" si="19"/>
        <v>45.762732626330987</v>
      </c>
      <c r="R61" s="129">
        <v>8546.1080000000002</v>
      </c>
      <c r="S61" s="130">
        <f t="shared" si="47"/>
        <v>-1074.3580000000002</v>
      </c>
      <c r="T61" s="131">
        <f>F61/R61*100</f>
        <v>87.428686836159812</v>
      </c>
    </row>
    <row r="62" spans="1:27" s="9" customFormat="1" ht="51.75" x14ac:dyDescent="0.25">
      <c r="A62" s="23">
        <f t="shared" si="59"/>
        <v>11</v>
      </c>
      <c r="B62" s="148" t="s">
        <v>190</v>
      </c>
      <c r="C62" s="97" t="s">
        <v>191</v>
      </c>
      <c r="D62" s="133"/>
      <c r="E62" s="133"/>
      <c r="F62" s="129">
        <f t="shared" si="13"/>
        <v>0</v>
      </c>
      <c r="G62" s="129"/>
      <c r="H62" s="129"/>
      <c r="I62" s="129"/>
      <c r="J62" s="129"/>
      <c r="K62" s="129"/>
      <c r="L62" s="129">
        <f t="shared" si="14"/>
        <v>0</v>
      </c>
      <c r="M62" s="136"/>
      <c r="N62" s="129">
        <f t="shared" si="58"/>
        <v>0</v>
      </c>
      <c r="O62" s="129"/>
      <c r="P62" s="136"/>
      <c r="Q62" s="136"/>
      <c r="R62" s="129">
        <v>8.7840000000000007</v>
      </c>
      <c r="S62" s="130">
        <f t="shared" si="47"/>
        <v>-8.7840000000000007</v>
      </c>
      <c r="T62" s="131"/>
    </row>
    <row r="63" spans="1:27" s="9" customFormat="1" ht="86.25" x14ac:dyDescent="0.25">
      <c r="A63" s="23">
        <f t="shared" si="59"/>
        <v>12</v>
      </c>
      <c r="B63" s="148" t="s">
        <v>177</v>
      </c>
      <c r="C63" s="97" t="s">
        <v>178</v>
      </c>
      <c r="D63" s="133"/>
      <c r="E63" s="133">
        <v>7297.62</v>
      </c>
      <c r="F63" s="129">
        <f t="shared" si="13"/>
        <v>2404.558</v>
      </c>
      <c r="G63" s="129">
        <v>591.60599999999999</v>
      </c>
      <c r="H63" s="129">
        <v>591.60400000000004</v>
      </c>
      <c r="I63" s="129">
        <v>591.60599999999999</v>
      </c>
      <c r="J63" s="129">
        <v>629.74199999999996</v>
      </c>
      <c r="K63" s="129">
        <v>2404.558</v>
      </c>
      <c r="L63" s="129">
        <f t="shared" si="14"/>
        <v>0</v>
      </c>
      <c r="M63" s="136">
        <f t="shared" ref="M63" si="70">F63/K63*100</f>
        <v>100</v>
      </c>
      <c r="N63" s="129">
        <f t="shared" si="58"/>
        <v>2404.558</v>
      </c>
      <c r="O63" s="129">
        <f t="shared" ref="O63" si="71">F63-N63</f>
        <v>0</v>
      </c>
      <c r="P63" s="136">
        <f t="shared" ref="P63" si="72">F63/N63*100</f>
        <v>100</v>
      </c>
      <c r="Q63" s="136">
        <f t="shared" ref="Q63" si="73">F63/E63*100</f>
        <v>32.949893252868748</v>
      </c>
      <c r="R63" s="129">
        <v>1547.508</v>
      </c>
      <c r="S63" s="130">
        <f t="shared" si="47"/>
        <v>857.05</v>
      </c>
      <c r="T63" s="131">
        <f>F63/R63*100</f>
        <v>155.38258929840748</v>
      </c>
    </row>
    <row r="64" spans="1:27" s="9" customFormat="1" ht="30" customHeight="1" x14ac:dyDescent="0.25">
      <c r="A64" s="23">
        <f t="shared" si="59"/>
        <v>13</v>
      </c>
      <c r="B64" s="149" t="s">
        <v>137</v>
      </c>
      <c r="C64" s="97" t="s">
        <v>104</v>
      </c>
      <c r="D64" s="133">
        <f>SUM(D65:D70)</f>
        <v>1902.8910000000001</v>
      </c>
      <c r="E64" s="133">
        <f>SUM(E65:E70)</f>
        <v>2619.77</v>
      </c>
      <c r="F64" s="129">
        <f t="shared" si="13"/>
        <v>1124.1790000000001</v>
      </c>
      <c r="G64" s="129">
        <f>SUM(G65:G70)</f>
        <v>4</v>
      </c>
      <c r="H64" s="129">
        <f>SUM(H65:H70)</f>
        <v>260.745</v>
      </c>
      <c r="I64" s="129">
        <f>SUM(I65:I70)</f>
        <v>468.34700000000004</v>
      </c>
      <c r="J64" s="129">
        <f>SUM(J65:J70)</f>
        <v>391.08699999999999</v>
      </c>
      <c r="K64" s="129">
        <f>SUM(K65:K70)</f>
        <v>1197.5480000000002</v>
      </c>
      <c r="L64" s="129">
        <f t="shared" si="14"/>
        <v>-73.369000000000142</v>
      </c>
      <c r="M64" s="136">
        <f t="shared" si="15"/>
        <v>93.873397976532033</v>
      </c>
      <c r="N64" s="129">
        <f>K64</f>
        <v>1197.5480000000002</v>
      </c>
      <c r="O64" s="129">
        <f t="shared" si="17"/>
        <v>-73.369000000000142</v>
      </c>
      <c r="P64" s="136">
        <f t="shared" si="18"/>
        <v>93.873397976532033</v>
      </c>
      <c r="Q64" s="136">
        <f t="shared" si="19"/>
        <v>42.911362447848475</v>
      </c>
      <c r="R64" s="129">
        <f>SUM(R65:R70)</f>
        <v>1198.171</v>
      </c>
      <c r="S64" s="130">
        <f t="shared" si="47"/>
        <v>-73.991999999999962</v>
      </c>
      <c r="T64" s="131">
        <f>F64/R64*100</f>
        <v>93.824587642331522</v>
      </c>
      <c r="U64" s="129"/>
      <c r="V64" s="129"/>
    </row>
    <row r="65" spans="1:25" s="35" customFormat="1" ht="34.5" x14ac:dyDescent="0.25">
      <c r="A65" s="34" t="s">
        <v>203</v>
      </c>
      <c r="B65" s="150" t="s">
        <v>138</v>
      </c>
      <c r="C65" s="81"/>
      <c r="D65" s="134">
        <v>48</v>
      </c>
      <c r="E65" s="134">
        <v>48</v>
      </c>
      <c r="F65" s="132">
        <f t="shared" si="13"/>
        <v>16</v>
      </c>
      <c r="G65" s="132">
        <v>4</v>
      </c>
      <c r="H65" s="132">
        <v>2.7450000000000001</v>
      </c>
      <c r="I65" s="132">
        <v>4</v>
      </c>
      <c r="J65" s="132">
        <v>5.2549999999999999</v>
      </c>
      <c r="K65" s="132">
        <v>16</v>
      </c>
      <c r="L65" s="132">
        <f t="shared" si="14"/>
        <v>0</v>
      </c>
      <c r="M65" s="118">
        <f t="shared" si="15"/>
        <v>100</v>
      </c>
      <c r="N65" s="132">
        <f t="shared" si="58"/>
        <v>16</v>
      </c>
      <c r="O65" s="132">
        <f t="shared" si="17"/>
        <v>0</v>
      </c>
      <c r="P65" s="118">
        <f t="shared" si="18"/>
        <v>100</v>
      </c>
      <c r="Q65" s="118">
        <f t="shared" si="19"/>
        <v>33.333333333333329</v>
      </c>
      <c r="R65" s="132">
        <v>8.3819999999999997</v>
      </c>
      <c r="S65" s="92">
        <f t="shared" si="47"/>
        <v>7.6180000000000003</v>
      </c>
      <c r="T65" s="93">
        <f t="shared" ref="T65:T70" si="74">F65/R65*100</f>
        <v>190.88523025530901</v>
      </c>
    </row>
    <row r="66" spans="1:25" s="35" customFormat="1" ht="34.5" x14ac:dyDescent="0.25">
      <c r="A66" s="34" t="s">
        <v>204</v>
      </c>
      <c r="B66" s="150" t="s">
        <v>139</v>
      </c>
      <c r="C66" s="81"/>
      <c r="D66" s="134">
        <v>1246.7</v>
      </c>
      <c r="E66" s="134">
        <v>1246.7</v>
      </c>
      <c r="F66" s="132">
        <f t="shared" si="13"/>
        <v>416</v>
      </c>
      <c r="G66" s="132">
        <v>0</v>
      </c>
      <c r="H66" s="132">
        <v>208</v>
      </c>
      <c r="I66" s="132">
        <v>104</v>
      </c>
      <c r="J66" s="132">
        <v>104</v>
      </c>
      <c r="K66" s="132">
        <v>416</v>
      </c>
      <c r="L66" s="132">
        <f t="shared" si="14"/>
        <v>0</v>
      </c>
      <c r="M66" s="118">
        <f t="shared" si="15"/>
        <v>100</v>
      </c>
      <c r="N66" s="132">
        <f t="shared" si="58"/>
        <v>416</v>
      </c>
      <c r="O66" s="132">
        <f t="shared" si="17"/>
        <v>0</v>
      </c>
      <c r="P66" s="118">
        <f t="shared" si="18"/>
        <v>100</v>
      </c>
      <c r="Q66" s="118">
        <f t="shared" si="19"/>
        <v>33.368091762252341</v>
      </c>
      <c r="R66" s="132">
        <v>416</v>
      </c>
      <c r="S66" s="92">
        <f t="shared" si="47"/>
        <v>0</v>
      </c>
      <c r="T66" s="93">
        <f t="shared" si="74"/>
        <v>100</v>
      </c>
    </row>
    <row r="67" spans="1:25" s="35" customFormat="1" ht="69" x14ac:dyDescent="0.25">
      <c r="A67" s="34" t="s">
        <v>205</v>
      </c>
      <c r="B67" s="150" t="s">
        <v>140</v>
      </c>
      <c r="C67" s="81"/>
      <c r="D67" s="134">
        <v>349.3</v>
      </c>
      <c r="E67" s="134">
        <v>349.3</v>
      </c>
      <c r="F67" s="132">
        <f t="shared" si="13"/>
        <v>166.28200000000001</v>
      </c>
      <c r="G67" s="132">
        <v>0</v>
      </c>
      <c r="H67" s="132"/>
      <c r="I67" s="132">
        <v>166.28200000000001</v>
      </c>
      <c r="J67" s="132"/>
      <c r="K67" s="132">
        <v>174.65100000000001</v>
      </c>
      <c r="L67" s="132">
        <f t="shared" si="14"/>
        <v>-8.3689999999999998</v>
      </c>
      <c r="M67" s="118">
        <f t="shared" si="15"/>
        <v>95.208157983635928</v>
      </c>
      <c r="N67" s="132">
        <f t="shared" si="58"/>
        <v>174.65100000000001</v>
      </c>
      <c r="O67" s="132">
        <f t="shared" si="17"/>
        <v>-8.3689999999999998</v>
      </c>
      <c r="P67" s="118">
        <f t="shared" si="18"/>
        <v>95.208157983635928</v>
      </c>
      <c r="Q67" s="118">
        <f t="shared" si="19"/>
        <v>47.604351560263389</v>
      </c>
      <c r="R67" s="132">
        <v>174.65100000000001</v>
      </c>
      <c r="S67" s="92">
        <f t="shared" si="47"/>
        <v>-8.3689999999999998</v>
      </c>
      <c r="T67" s="93">
        <f t="shared" si="74"/>
        <v>95.208157983635928</v>
      </c>
    </row>
    <row r="68" spans="1:25" s="35" customFormat="1" ht="51.75" x14ac:dyDescent="0.25">
      <c r="A68" s="34" t="s">
        <v>206</v>
      </c>
      <c r="B68" s="150" t="s">
        <v>184</v>
      </c>
      <c r="C68" s="81"/>
      <c r="D68" s="134"/>
      <c r="E68" s="134">
        <f>123.159+123.159+123.159</f>
        <v>369.47700000000003</v>
      </c>
      <c r="F68" s="132">
        <f t="shared" si="13"/>
        <v>369.47700000000003</v>
      </c>
      <c r="G68" s="132"/>
      <c r="H68" s="132"/>
      <c r="I68" s="132">
        <v>123.15900000000001</v>
      </c>
      <c r="J68" s="132">
        <f>123.159+123.159</f>
        <v>246.31800000000001</v>
      </c>
      <c r="K68" s="132">
        <v>369.47699999999998</v>
      </c>
      <c r="L68" s="132">
        <f t="shared" ref="L68" si="75">F68-K68</f>
        <v>0</v>
      </c>
      <c r="M68" s="118">
        <f t="shared" si="15"/>
        <v>100.00000000000003</v>
      </c>
      <c r="N68" s="132">
        <f t="shared" ref="N68" si="76">K68</f>
        <v>369.47699999999998</v>
      </c>
      <c r="O68" s="132">
        <f t="shared" ref="O68" si="77">F68-N68</f>
        <v>0</v>
      </c>
      <c r="P68" s="118">
        <f t="shared" ref="P68" si="78">F68/N68*100</f>
        <v>100.00000000000003</v>
      </c>
      <c r="Q68" s="118">
        <f t="shared" si="19"/>
        <v>100</v>
      </c>
      <c r="R68" s="132">
        <v>367.25700000000001</v>
      </c>
      <c r="S68" s="92">
        <f t="shared" si="47"/>
        <v>2.2200000000000273</v>
      </c>
      <c r="T68" s="93">
        <f t="shared" si="74"/>
        <v>100.60448133051243</v>
      </c>
    </row>
    <row r="69" spans="1:25" s="35" customFormat="1" ht="86.25" x14ac:dyDescent="0.25">
      <c r="A69" s="34" t="s">
        <v>207</v>
      </c>
      <c r="B69" s="150" t="s">
        <v>170</v>
      </c>
      <c r="C69" s="81"/>
      <c r="D69" s="134">
        <v>258.89100000000002</v>
      </c>
      <c r="E69" s="134">
        <v>258.89100000000002</v>
      </c>
      <c r="F69" s="132">
        <f t="shared" si="13"/>
        <v>50</v>
      </c>
      <c r="G69" s="132">
        <v>0</v>
      </c>
      <c r="H69" s="132">
        <v>50</v>
      </c>
      <c r="I69" s="132"/>
      <c r="J69" s="132"/>
      <c r="K69" s="132">
        <v>115</v>
      </c>
      <c r="L69" s="132">
        <f t="shared" si="14"/>
        <v>-65</v>
      </c>
      <c r="M69" s="118">
        <f t="shared" si="15"/>
        <v>43.478260869565219</v>
      </c>
      <c r="N69" s="132">
        <f t="shared" si="58"/>
        <v>115</v>
      </c>
      <c r="O69" s="132">
        <f t="shared" si="17"/>
        <v>-65</v>
      </c>
      <c r="P69" s="118">
        <f t="shared" si="18"/>
        <v>43.478260869565219</v>
      </c>
      <c r="Q69" s="118">
        <f t="shared" si="19"/>
        <v>19.313147231846607</v>
      </c>
      <c r="R69" s="132">
        <v>50</v>
      </c>
      <c r="S69" s="92">
        <f t="shared" si="47"/>
        <v>0</v>
      </c>
      <c r="T69" s="93">
        <f t="shared" si="74"/>
        <v>100</v>
      </c>
    </row>
    <row r="70" spans="1:25" s="35" customFormat="1" ht="75" x14ac:dyDescent="0.25">
      <c r="A70" s="34" t="s">
        <v>208</v>
      </c>
      <c r="B70" s="146" t="s">
        <v>151</v>
      </c>
      <c r="C70" s="81"/>
      <c r="D70" s="134"/>
      <c r="E70" s="134">
        <v>347.40199999999999</v>
      </c>
      <c r="F70" s="132">
        <f t="shared" si="13"/>
        <v>106.42000000000002</v>
      </c>
      <c r="G70" s="132">
        <v>0</v>
      </c>
      <c r="H70" s="132"/>
      <c r="I70" s="132">
        <v>70.906000000000006</v>
      </c>
      <c r="J70" s="132">
        <v>35.514000000000003</v>
      </c>
      <c r="K70" s="132">
        <v>106.42</v>
      </c>
      <c r="L70" s="132">
        <f t="shared" si="14"/>
        <v>0</v>
      </c>
      <c r="M70" s="118">
        <f t="shared" si="15"/>
        <v>100.00000000000003</v>
      </c>
      <c r="N70" s="132">
        <f t="shared" si="58"/>
        <v>106.42</v>
      </c>
      <c r="O70" s="132">
        <f t="shared" si="17"/>
        <v>0</v>
      </c>
      <c r="P70" s="118">
        <f t="shared" si="18"/>
        <v>100.00000000000003</v>
      </c>
      <c r="Q70" s="118">
        <f t="shared" si="19"/>
        <v>30.633099406451318</v>
      </c>
      <c r="R70" s="132">
        <v>181.881</v>
      </c>
      <c r="S70" s="92">
        <f t="shared" si="47"/>
        <v>-75.460999999999984</v>
      </c>
      <c r="T70" s="93">
        <f t="shared" si="74"/>
        <v>58.510784523946988</v>
      </c>
    </row>
    <row r="71" spans="1:25" s="41" customFormat="1" ht="27.75" customHeight="1" x14ac:dyDescent="0.3">
      <c r="A71" s="39"/>
      <c r="B71" s="42" t="s">
        <v>27</v>
      </c>
      <c r="C71" s="40"/>
      <c r="D71" s="124">
        <f>D75+D74+D73</f>
        <v>62807.991000000002</v>
      </c>
      <c r="E71" s="124">
        <f>E75+E74+E73</f>
        <v>1064834.54</v>
      </c>
      <c r="F71" s="124">
        <f t="shared" si="13"/>
        <v>534335.26599999995</v>
      </c>
      <c r="G71" s="124">
        <f t="shared" ref="G71:J71" si="79">G75+G74+G73</f>
        <v>128823.25599999999</v>
      </c>
      <c r="H71" s="124">
        <f t="shared" ref="H71:I71" si="80">H75+H74+H73</f>
        <v>129746.04899999998</v>
      </c>
      <c r="I71" s="124">
        <f t="shared" si="80"/>
        <v>129619.95299999999</v>
      </c>
      <c r="J71" s="124">
        <f t="shared" si="79"/>
        <v>146146.008</v>
      </c>
      <c r="K71" s="124">
        <f t="shared" ref="K71" si="81">K75+K74+K73</f>
        <v>524857.15599999984</v>
      </c>
      <c r="L71" s="124">
        <f t="shared" si="14"/>
        <v>9478.1100000001024</v>
      </c>
      <c r="M71" s="120">
        <f t="shared" si="15"/>
        <v>101.80584562707193</v>
      </c>
      <c r="N71" s="124">
        <f t="shared" ref="N71" si="82">N75+N74+N73</f>
        <v>519227.05599999992</v>
      </c>
      <c r="O71" s="124">
        <f t="shared" si="17"/>
        <v>15108.210000000021</v>
      </c>
      <c r="P71" s="120">
        <f t="shared" si="18"/>
        <v>102.90975014214206</v>
      </c>
      <c r="Q71" s="120">
        <f t="shared" si="19"/>
        <v>50.180121505074382</v>
      </c>
      <c r="R71" s="124">
        <f>R75+R74+R73</f>
        <v>313127.02999999997</v>
      </c>
      <c r="S71" s="67">
        <f t="shared" si="47"/>
        <v>221208.23599999998</v>
      </c>
      <c r="T71" s="68">
        <f>F71/R71*100</f>
        <v>170.64488683714083</v>
      </c>
    </row>
    <row r="72" spans="1:25" s="12" customFormat="1" ht="23.25" x14ac:dyDescent="0.25">
      <c r="A72" s="11"/>
      <c r="B72" s="112" t="s">
        <v>92</v>
      </c>
      <c r="C72" s="10"/>
      <c r="D72" s="135"/>
      <c r="E72" s="135"/>
      <c r="F72" s="135"/>
      <c r="G72" s="135"/>
      <c r="H72" s="135"/>
      <c r="I72" s="135"/>
      <c r="J72" s="135"/>
      <c r="K72" s="135"/>
      <c r="L72" s="135"/>
      <c r="M72" s="121"/>
      <c r="N72" s="135"/>
      <c r="O72" s="135"/>
      <c r="P72" s="121"/>
      <c r="Q72" s="121"/>
      <c r="R72" s="135"/>
      <c r="S72" s="71"/>
      <c r="T72" s="72"/>
    </row>
    <row r="73" spans="1:25" s="12" customFormat="1" ht="22.5" x14ac:dyDescent="0.25">
      <c r="A73" s="11"/>
      <c r="B73" s="170" t="s">
        <v>134</v>
      </c>
      <c r="C73" s="25"/>
      <c r="D73" s="125">
        <f>D52</f>
        <v>30609.4</v>
      </c>
      <c r="E73" s="125">
        <f>E52</f>
        <v>30609.4</v>
      </c>
      <c r="F73" s="125">
        <f t="shared" si="13"/>
        <v>10203.200000000001</v>
      </c>
      <c r="G73" s="125">
        <f>G52</f>
        <v>2550.8000000000002</v>
      </c>
      <c r="H73" s="125">
        <f>H52</f>
        <v>2550.8000000000002</v>
      </c>
      <c r="I73" s="125">
        <f>I52</f>
        <v>2550.8000000000002</v>
      </c>
      <c r="J73" s="125">
        <f>J52</f>
        <v>2550.8000000000002</v>
      </c>
      <c r="K73" s="125">
        <f>K52</f>
        <v>10203.200000000001</v>
      </c>
      <c r="L73" s="125">
        <f t="shared" ref="L73:L74" si="83">F73-K73</f>
        <v>0</v>
      </c>
      <c r="M73" s="116">
        <f t="shared" ref="M73" si="84">F73/K73*100</f>
        <v>100</v>
      </c>
      <c r="N73" s="125">
        <f>N52</f>
        <v>10203.200000000001</v>
      </c>
      <c r="O73" s="125">
        <f t="shared" ref="O73" si="85">F73-N73</f>
        <v>0</v>
      </c>
      <c r="P73" s="116">
        <f t="shared" ref="P73" si="86">F73/N73*100</f>
        <v>100</v>
      </c>
      <c r="Q73" s="116">
        <f t="shared" ref="Q73" si="87">F73/E73*100</f>
        <v>33.333551131351804</v>
      </c>
      <c r="R73" s="125"/>
      <c r="S73" s="71">
        <f>F73-R73</f>
        <v>10203.200000000001</v>
      </c>
      <c r="T73" s="72"/>
    </row>
    <row r="74" spans="1:25" s="12" customFormat="1" ht="22.5" x14ac:dyDescent="0.25">
      <c r="A74" s="11"/>
      <c r="B74" s="170" t="s">
        <v>105</v>
      </c>
      <c r="C74" s="25"/>
      <c r="D74" s="125"/>
      <c r="E74" s="125"/>
      <c r="F74" s="125">
        <f t="shared" si="13"/>
        <v>0</v>
      </c>
      <c r="G74" s="125"/>
      <c r="H74" s="125"/>
      <c r="I74" s="125"/>
      <c r="J74" s="125"/>
      <c r="K74" s="125"/>
      <c r="L74" s="125">
        <f t="shared" si="83"/>
        <v>0</v>
      </c>
      <c r="M74" s="116"/>
      <c r="N74" s="125"/>
      <c r="O74" s="125">
        <f t="shared" si="17"/>
        <v>0</v>
      </c>
      <c r="P74" s="116"/>
      <c r="Q74" s="116"/>
      <c r="R74" s="125">
        <f>R60</f>
        <v>1004.4590000000001</v>
      </c>
      <c r="S74" s="71">
        <f>F74-R74</f>
        <v>-1004.4590000000001</v>
      </c>
      <c r="T74" s="72"/>
    </row>
    <row r="75" spans="1:25" s="12" customFormat="1" ht="26.25" customHeight="1" x14ac:dyDescent="0.25">
      <c r="A75" s="11"/>
      <c r="B75" s="170" t="s">
        <v>69</v>
      </c>
      <c r="C75" s="25"/>
      <c r="D75" s="125">
        <f>D76+D77</f>
        <v>32198.591</v>
      </c>
      <c r="E75" s="125">
        <f>E76+E77</f>
        <v>1034225.14</v>
      </c>
      <c r="F75" s="125">
        <f t="shared" si="13"/>
        <v>524132.06599999999</v>
      </c>
      <c r="G75" s="125">
        <f>G76+G77</f>
        <v>126272.45599999999</v>
      </c>
      <c r="H75" s="125">
        <f>H76+H77</f>
        <v>127195.24899999998</v>
      </c>
      <c r="I75" s="125">
        <f>I76+I77</f>
        <v>127069.15299999999</v>
      </c>
      <c r="J75" s="125">
        <f>J76+J77</f>
        <v>143595.20800000001</v>
      </c>
      <c r="K75" s="125">
        <f>K76+K77</f>
        <v>514653.95599999989</v>
      </c>
      <c r="L75" s="125">
        <f t="shared" si="14"/>
        <v>9478.1100000001024</v>
      </c>
      <c r="M75" s="116">
        <f t="shared" si="15"/>
        <v>101.84164716689754</v>
      </c>
      <c r="N75" s="125">
        <f>N76+N77</f>
        <v>509023.85599999991</v>
      </c>
      <c r="O75" s="125">
        <f t="shared" si="17"/>
        <v>15108.210000000079</v>
      </c>
      <c r="P75" s="116">
        <f t="shared" si="18"/>
        <v>102.96807503654604</v>
      </c>
      <c r="Q75" s="116">
        <f t="shared" si="19"/>
        <v>50.678720302621919</v>
      </c>
      <c r="R75" s="125">
        <f>R76+R77</f>
        <v>312122.571</v>
      </c>
      <c r="S75" s="71">
        <f>F75-R75</f>
        <v>212009.495</v>
      </c>
      <c r="T75" s="72">
        <f>F75/R75*100</f>
        <v>167.92507645978606</v>
      </c>
    </row>
    <row r="76" spans="1:25" s="7" customFormat="1" ht="24.75" customHeight="1" x14ac:dyDescent="0.25">
      <c r="A76" s="13"/>
      <c r="B76" s="16" t="s">
        <v>96</v>
      </c>
      <c r="C76" s="16"/>
      <c r="D76" s="134">
        <f>D56</f>
        <v>0</v>
      </c>
      <c r="E76" s="134">
        <f>E56+E53+E59+E57+E58+E55</f>
        <v>1007980.6</v>
      </c>
      <c r="F76" s="134">
        <f t="shared" ref="F76:F113" si="88">SUM(G76:J76)</f>
        <v>513131.57900000003</v>
      </c>
      <c r="G76" s="134">
        <f>G56+G57+G59+G58+G53</f>
        <v>123807.9</v>
      </c>
      <c r="H76" s="134">
        <f>H56+H57+H59+H58+H53</f>
        <v>124475.29999999999</v>
      </c>
      <c r="I76" s="134">
        <f>I56+I57+I59+I58+I53</f>
        <v>124141.59999999999</v>
      </c>
      <c r="J76" s="134">
        <f>J56+J57+J59+J58+J53+J54+J55</f>
        <v>140706.77900000001</v>
      </c>
      <c r="K76" s="134">
        <f>K56+K57+K59+K58+K53+K54+K55</f>
        <v>503580.09999999992</v>
      </c>
      <c r="L76" s="134">
        <f t="shared" si="14"/>
        <v>9551.4790000001085</v>
      </c>
      <c r="M76" s="122">
        <f t="shared" si="15"/>
        <v>101.89671494167465</v>
      </c>
      <c r="N76" s="134">
        <f>N56+N57+N59+N58+N53</f>
        <v>497949.99999999994</v>
      </c>
      <c r="O76" s="134">
        <f t="shared" si="17"/>
        <v>15181.579000000085</v>
      </c>
      <c r="P76" s="122">
        <f t="shared" si="18"/>
        <v>103.04881594537605</v>
      </c>
      <c r="Q76" s="122">
        <f t="shared" si="19"/>
        <v>50.906890370707536</v>
      </c>
      <c r="R76" s="134">
        <f t="shared" ref="R76" si="89">R56+R57+R59+R58</f>
        <v>300822</v>
      </c>
      <c r="S76" s="92">
        <f>F76-R76</f>
        <v>212309.57900000003</v>
      </c>
      <c r="T76" s="93">
        <f>F76/R76*100</f>
        <v>170.57648011116208</v>
      </c>
    </row>
    <row r="77" spans="1:25" s="7" customFormat="1" ht="33.75" customHeight="1" x14ac:dyDescent="0.25">
      <c r="A77" s="13"/>
      <c r="B77" s="113" t="s">
        <v>95</v>
      </c>
      <c r="C77" s="16"/>
      <c r="D77" s="134">
        <f>D61+D64</f>
        <v>32198.591</v>
      </c>
      <c r="E77" s="134">
        <f>E61+E64+E63</f>
        <v>26244.539999999997</v>
      </c>
      <c r="F77" s="134">
        <f t="shared" si="88"/>
        <v>11000.486999999999</v>
      </c>
      <c r="G77" s="134">
        <f>G61+G64+G63</f>
        <v>2464.556</v>
      </c>
      <c r="H77" s="134">
        <f>H61+H64+H63</f>
        <v>2719.9489999999996</v>
      </c>
      <c r="I77" s="134">
        <f>I61+I64+I63</f>
        <v>2927.5529999999999</v>
      </c>
      <c r="J77" s="134">
        <f>J61+J64+J63</f>
        <v>2888.4290000000001</v>
      </c>
      <c r="K77" s="134">
        <f>K61+K64+K63</f>
        <v>11073.856</v>
      </c>
      <c r="L77" s="134">
        <f t="shared" si="14"/>
        <v>-73.369000000000597</v>
      </c>
      <c r="M77" s="122">
        <f t="shared" si="15"/>
        <v>99.337457521571523</v>
      </c>
      <c r="N77" s="134">
        <f>N61+N64+N63</f>
        <v>11073.856</v>
      </c>
      <c r="O77" s="134">
        <f t="shared" si="17"/>
        <v>-73.369000000000597</v>
      </c>
      <c r="P77" s="122">
        <f t="shared" si="18"/>
        <v>99.337457521571523</v>
      </c>
      <c r="Q77" s="122">
        <f t="shared" si="19"/>
        <v>41.915335532647937</v>
      </c>
      <c r="R77" s="134">
        <f>R61+R64+R63+R62</f>
        <v>11300.571</v>
      </c>
      <c r="S77" s="92">
        <f>F77-R77</f>
        <v>-300.08400000000074</v>
      </c>
      <c r="T77" s="93">
        <f>F77/R77*100</f>
        <v>97.344523564340236</v>
      </c>
    </row>
    <row r="78" spans="1:25" s="7" customFormat="1" ht="23.25" hidden="1" customHeight="1" x14ac:dyDescent="0.25">
      <c r="A78" s="13"/>
      <c r="B78" s="37"/>
      <c r="C78" s="16"/>
      <c r="D78" s="134"/>
      <c r="E78" s="134"/>
      <c r="F78" s="134">
        <f t="shared" si="88"/>
        <v>0</v>
      </c>
      <c r="G78" s="134"/>
      <c r="H78" s="134"/>
      <c r="I78" s="134"/>
      <c r="J78" s="134"/>
      <c r="K78" s="134"/>
      <c r="L78" s="134"/>
      <c r="M78" s="122"/>
      <c r="N78" s="134"/>
      <c r="O78" s="134"/>
      <c r="P78" s="122"/>
      <c r="Q78" s="122"/>
      <c r="R78" s="134"/>
      <c r="S78" s="92"/>
      <c r="T78" s="93"/>
    </row>
    <row r="79" spans="1:25" s="105" customFormat="1" ht="38.25" customHeight="1" x14ac:dyDescent="0.3">
      <c r="A79" s="99"/>
      <c r="B79" s="100" t="s">
        <v>28</v>
      </c>
      <c r="C79" s="101"/>
      <c r="D79" s="137">
        <f>D71+D51</f>
        <v>7652526.6669999994</v>
      </c>
      <c r="E79" s="137">
        <f>E71+E51</f>
        <v>8800628.216</v>
      </c>
      <c r="F79" s="137">
        <f t="shared" si="88"/>
        <v>3069386.798</v>
      </c>
      <c r="G79" s="137">
        <f>G71+G51</f>
        <v>737966.35100000002</v>
      </c>
      <c r="H79" s="137">
        <f>H71+H51</f>
        <v>763217.60200000007</v>
      </c>
      <c r="I79" s="137">
        <f>I71+I51</f>
        <v>696496.12999999989</v>
      </c>
      <c r="J79" s="137">
        <f>J71+J51</f>
        <v>871706.71499999997</v>
      </c>
      <c r="K79" s="137">
        <f>K71+K51</f>
        <v>2803844.0559999994</v>
      </c>
      <c r="L79" s="137">
        <f t="shared" si="14"/>
        <v>265542.74200000055</v>
      </c>
      <c r="M79" s="123">
        <f t="shared" si="15"/>
        <v>109.47066729448667</v>
      </c>
      <c r="N79" s="137">
        <f>N71+N51</f>
        <v>3097824.9479999989</v>
      </c>
      <c r="O79" s="137">
        <f t="shared" si="17"/>
        <v>-28438.149999998976</v>
      </c>
      <c r="P79" s="123">
        <f t="shared" si="18"/>
        <v>99.081996223887373</v>
      </c>
      <c r="Q79" s="123">
        <f t="shared" si="19"/>
        <v>34.8769056329376</v>
      </c>
      <c r="R79" s="137">
        <f>R71+R51</f>
        <v>2413079.827</v>
      </c>
      <c r="S79" s="102">
        <f>F79-R79</f>
        <v>656306.9709999999</v>
      </c>
      <c r="T79" s="103">
        <f>F79/R79*100</f>
        <v>127.19789721237431</v>
      </c>
      <c r="U79" s="137">
        <v>2413079.8270000005</v>
      </c>
      <c r="V79" s="104">
        <f>U79-R79</f>
        <v>0</v>
      </c>
      <c r="Y79" s="104"/>
    </row>
    <row r="80" spans="1:25" s="9" customFormat="1" ht="20.25" customHeight="1" x14ac:dyDescent="0.25">
      <c r="A80" s="175" t="s">
        <v>9</v>
      </c>
      <c r="B80" s="175"/>
      <c r="C80" s="175"/>
      <c r="D80" s="175"/>
      <c r="E80" s="175"/>
      <c r="F80" s="175"/>
      <c r="G80" s="175"/>
      <c r="H80" s="175"/>
      <c r="I80" s="175"/>
      <c r="J80" s="175"/>
      <c r="K80" s="175"/>
      <c r="L80" s="175"/>
      <c r="M80" s="175"/>
      <c r="N80" s="175"/>
      <c r="O80" s="175"/>
      <c r="P80" s="175"/>
      <c r="Q80" s="175"/>
      <c r="R80" s="175"/>
      <c r="S80" s="175"/>
      <c r="T80" s="175"/>
    </row>
    <row r="81" spans="1:21" s="50" customFormat="1" ht="34.5" customHeight="1" x14ac:dyDescent="0.3">
      <c r="A81" s="23">
        <v>1</v>
      </c>
      <c r="B81" s="49" t="s">
        <v>12</v>
      </c>
      <c r="C81" s="24" t="s">
        <v>21</v>
      </c>
      <c r="D81" s="133">
        <f>D82+D83</f>
        <v>119401.747</v>
      </c>
      <c r="E81" s="133">
        <f>E82+E83</f>
        <v>119401.747</v>
      </c>
      <c r="F81" s="129">
        <f t="shared" si="88"/>
        <v>59144.532000000007</v>
      </c>
      <c r="G81" s="129">
        <f t="shared" ref="G81:J81" si="90">G82+G83</f>
        <v>9761.7610000000004</v>
      </c>
      <c r="H81" s="129">
        <f t="shared" ref="H81:I81" si="91">H82+H83</f>
        <v>13666.211000000001</v>
      </c>
      <c r="I81" s="129">
        <f t="shared" si="91"/>
        <v>15626.355</v>
      </c>
      <c r="J81" s="129">
        <f t="shared" si="90"/>
        <v>20090.205000000002</v>
      </c>
      <c r="K81" s="129">
        <f>K82+K83</f>
        <v>39800.582000000002</v>
      </c>
      <c r="L81" s="129">
        <f t="shared" ref="L81:L101" si="92">F81-K81</f>
        <v>19343.950000000004</v>
      </c>
      <c r="M81" s="136">
        <f t="shared" ref="M81:M101" si="93">F81/K81*100</f>
        <v>148.60217873195924</v>
      </c>
      <c r="N81" s="129">
        <f>N82</f>
        <v>39800.582333333332</v>
      </c>
      <c r="O81" s="129">
        <f t="shared" ref="O81:O101" si="94">F81-N81</f>
        <v>19343.949666666675</v>
      </c>
      <c r="P81" s="136">
        <f t="shared" ref="P81:P101" si="95">F81/N81*100</f>
        <v>148.60217748740311</v>
      </c>
      <c r="Q81" s="136">
        <f t="shared" ref="Q81:Q101" si="96">F81/E81*100</f>
        <v>49.534059162467706</v>
      </c>
      <c r="R81" s="129">
        <f t="shared" ref="R81" si="97">R82+R83</f>
        <v>98065.83600000001</v>
      </c>
      <c r="S81" s="130">
        <f t="shared" ref="S81:S99" si="98">F81-R81</f>
        <v>-38921.304000000004</v>
      </c>
      <c r="T81" s="131">
        <f t="shared" ref="T81:T89" si="99">F81/R81*100</f>
        <v>60.311046550401102</v>
      </c>
    </row>
    <row r="82" spans="1:21" s="53" customFormat="1" ht="39" x14ac:dyDescent="0.3">
      <c r="A82" s="34" t="s">
        <v>110</v>
      </c>
      <c r="B82" s="80" t="s">
        <v>106</v>
      </c>
      <c r="C82" s="16" t="s">
        <v>107</v>
      </c>
      <c r="D82" s="134">
        <v>119401.747</v>
      </c>
      <c r="E82" s="134">
        <v>119401.747</v>
      </c>
      <c r="F82" s="132">
        <f t="shared" si="88"/>
        <v>37600.829000000005</v>
      </c>
      <c r="G82" s="132">
        <v>8151.5730000000003</v>
      </c>
      <c r="H82" s="132">
        <v>8311.1740000000009</v>
      </c>
      <c r="I82" s="132">
        <v>11004.575000000001</v>
      </c>
      <c r="J82" s="132">
        <v>10133.507</v>
      </c>
      <c r="K82" s="132">
        <v>39800.582000000002</v>
      </c>
      <c r="L82" s="132">
        <f t="shared" si="92"/>
        <v>-2199.752999999997</v>
      </c>
      <c r="M82" s="118">
        <f t="shared" si="93"/>
        <v>94.473063233095445</v>
      </c>
      <c r="N82" s="132">
        <f>E82/12*4</f>
        <v>39800.582333333332</v>
      </c>
      <c r="O82" s="132">
        <f t="shared" si="94"/>
        <v>-2199.7533333333267</v>
      </c>
      <c r="P82" s="118">
        <f t="shared" si="95"/>
        <v>94.473062441875342</v>
      </c>
      <c r="Q82" s="118">
        <f t="shared" si="96"/>
        <v>31.49102081395845</v>
      </c>
      <c r="R82" s="132">
        <v>40351.794000000002</v>
      </c>
      <c r="S82" s="92">
        <f t="shared" si="98"/>
        <v>-2750.9649999999965</v>
      </c>
      <c r="T82" s="93">
        <f t="shared" si="99"/>
        <v>93.182545985439958</v>
      </c>
    </row>
    <row r="83" spans="1:21" s="53" customFormat="1" ht="36.75" customHeight="1" x14ac:dyDescent="0.3">
      <c r="A83" s="34" t="s">
        <v>111</v>
      </c>
      <c r="B83" s="80" t="s">
        <v>108</v>
      </c>
      <c r="C83" s="16" t="s">
        <v>109</v>
      </c>
      <c r="D83" s="134">
        <v>0</v>
      </c>
      <c r="E83" s="134">
        <v>0</v>
      </c>
      <c r="F83" s="132">
        <f t="shared" si="88"/>
        <v>21543.703000000001</v>
      </c>
      <c r="G83" s="132">
        <v>1610.1880000000001</v>
      </c>
      <c r="H83" s="132">
        <v>5355.0370000000003</v>
      </c>
      <c r="I83" s="132">
        <v>4621.78</v>
      </c>
      <c r="J83" s="132">
        <v>9956.6980000000003</v>
      </c>
      <c r="K83" s="132">
        <v>0</v>
      </c>
      <c r="L83" s="132">
        <f t="shared" si="92"/>
        <v>21543.703000000001</v>
      </c>
      <c r="M83" s="118"/>
      <c r="N83" s="132">
        <f t="shared" ref="N83:N86" si="100">E83/12*4</f>
        <v>0</v>
      </c>
      <c r="O83" s="132">
        <f t="shared" si="94"/>
        <v>21543.703000000001</v>
      </c>
      <c r="P83" s="118"/>
      <c r="Q83" s="118"/>
      <c r="R83" s="132">
        <v>57714.042000000001</v>
      </c>
      <c r="S83" s="92">
        <f t="shared" si="98"/>
        <v>-36170.339</v>
      </c>
      <c r="T83" s="93">
        <f t="shared" si="99"/>
        <v>37.32835589647317</v>
      </c>
    </row>
    <row r="84" spans="1:21" s="50" customFormat="1" ht="30.75" customHeight="1" x14ac:dyDescent="0.3">
      <c r="A84" s="23">
        <v>2</v>
      </c>
      <c r="B84" s="91" t="s">
        <v>31</v>
      </c>
      <c r="C84" s="24" t="s">
        <v>30</v>
      </c>
      <c r="D84" s="133">
        <v>4470</v>
      </c>
      <c r="E84" s="133">
        <v>4470</v>
      </c>
      <c r="F84" s="129">
        <f t="shared" si="88"/>
        <v>1292.4139999999998</v>
      </c>
      <c r="G84" s="129">
        <v>478.52100000000002</v>
      </c>
      <c r="H84" s="129">
        <v>565.58799999999997</v>
      </c>
      <c r="I84" s="129">
        <v>5.7809999999999997</v>
      </c>
      <c r="J84" s="129">
        <v>242.524</v>
      </c>
      <c r="K84" s="129">
        <v>1080.9849999999999</v>
      </c>
      <c r="L84" s="129">
        <f t="shared" si="92"/>
        <v>211.42899999999986</v>
      </c>
      <c r="M84" s="136">
        <f t="shared" si="93"/>
        <v>119.55892079908601</v>
      </c>
      <c r="N84" s="129">
        <f t="shared" si="100"/>
        <v>1490</v>
      </c>
      <c r="O84" s="129">
        <f t="shared" si="94"/>
        <v>-197.58600000000024</v>
      </c>
      <c r="P84" s="136">
        <f t="shared" si="95"/>
        <v>86.739194630872461</v>
      </c>
      <c r="Q84" s="136">
        <f t="shared" si="96"/>
        <v>28.913064876957488</v>
      </c>
      <c r="R84" s="129">
        <v>1622.915</v>
      </c>
      <c r="S84" s="130">
        <f t="shared" si="98"/>
        <v>-330.5010000000002</v>
      </c>
      <c r="T84" s="131">
        <f t="shared" si="99"/>
        <v>79.635347507417194</v>
      </c>
    </row>
    <row r="85" spans="1:21" s="50" customFormat="1" ht="39" x14ac:dyDescent="0.3">
      <c r="A85" s="23">
        <v>3</v>
      </c>
      <c r="B85" s="91" t="s">
        <v>188</v>
      </c>
      <c r="C85" s="24">
        <v>21110000</v>
      </c>
      <c r="D85" s="133"/>
      <c r="E85" s="133"/>
      <c r="F85" s="129">
        <f t="shared" si="88"/>
        <v>0</v>
      </c>
      <c r="G85" s="129"/>
      <c r="H85" s="129"/>
      <c r="I85" s="129"/>
      <c r="J85" s="129"/>
      <c r="K85" s="129"/>
      <c r="L85" s="129">
        <f t="shared" si="92"/>
        <v>0</v>
      </c>
      <c r="M85" s="136"/>
      <c r="N85" s="129">
        <f t="shared" si="100"/>
        <v>0</v>
      </c>
      <c r="O85" s="129">
        <f t="shared" si="94"/>
        <v>0</v>
      </c>
      <c r="P85" s="136"/>
      <c r="Q85" s="136"/>
      <c r="R85" s="129">
        <v>4.7610000000000001</v>
      </c>
      <c r="S85" s="130">
        <f t="shared" si="98"/>
        <v>-4.7610000000000001</v>
      </c>
      <c r="T85" s="131"/>
    </row>
    <row r="86" spans="1:21" s="50" customFormat="1" ht="58.5" x14ac:dyDescent="0.3">
      <c r="A86" s="23">
        <v>4</v>
      </c>
      <c r="B86" s="49" t="s">
        <v>26</v>
      </c>
      <c r="C86" s="24" t="s">
        <v>25</v>
      </c>
      <c r="D86" s="133">
        <v>55</v>
      </c>
      <c r="E86" s="133">
        <v>55</v>
      </c>
      <c r="F86" s="129">
        <f t="shared" si="88"/>
        <v>12.202999999999999</v>
      </c>
      <c r="G86" s="129"/>
      <c r="H86" s="129">
        <v>5.52</v>
      </c>
      <c r="I86" s="129"/>
      <c r="J86" s="129">
        <v>6.6829999999999998</v>
      </c>
      <c r="K86" s="129">
        <v>5.5</v>
      </c>
      <c r="L86" s="129">
        <f t="shared" si="92"/>
        <v>6.7029999999999994</v>
      </c>
      <c r="M86" s="136">
        <f t="shared" si="93"/>
        <v>221.87272727272727</v>
      </c>
      <c r="N86" s="129">
        <f t="shared" si="100"/>
        <v>18.333333333333332</v>
      </c>
      <c r="O86" s="129">
        <f t="shared" si="94"/>
        <v>-6.1303333333333327</v>
      </c>
      <c r="P86" s="136">
        <f t="shared" si="95"/>
        <v>66.561818181818182</v>
      </c>
      <c r="Q86" s="136">
        <f t="shared" si="96"/>
        <v>22.187272727272724</v>
      </c>
      <c r="R86" s="129">
        <v>132.541</v>
      </c>
      <c r="S86" s="130">
        <f t="shared" si="98"/>
        <v>-120.33799999999999</v>
      </c>
      <c r="T86" s="131">
        <f t="shared" si="99"/>
        <v>9.2069623739069417</v>
      </c>
    </row>
    <row r="87" spans="1:21" s="30" customFormat="1" ht="35.25" customHeight="1" x14ac:dyDescent="0.3">
      <c r="A87" s="11">
        <f t="shared" ref="A87" si="101">A86+1</f>
        <v>5</v>
      </c>
      <c r="B87" s="15" t="s">
        <v>10</v>
      </c>
      <c r="C87" s="8"/>
      <c r="D87" s="125">
        <f>SUM(D88:D90)</f>
        <v>55050</v>
      </c>
      <c r="E87" s="125">
        <f>SUM(E88:E90)</f>
        <v>56506</v>
      </c>
      <c r="F87" s="125">
        <f t="shared" si="88"/>
        <v>35263.661</v>
      </c>
      <c r="G87" s="125">
        <f>SUM(G88:G90)</f>
        <v>17780.466</v>
      </c>
      <c r="H87" s="125">
        <f>SUM(H88:H90)</f>
        <v>6183.8270000000002</v>
      </c>
      <c r="I87" s="125">
        <f>SUM(I88:I90)</f>
        <v>6430.4530000000004</v>
      </c>
      <c r="J87" s="125">
        <f>SUM(J88:J90)</f>
        <v>4868.915</v>
      </c>
      <c r="K87" s="125">
        <f>SUM(K88:K90)</f>
        <v>33286.149000000005</v>
      </c>
      <c r="L87" s="125">
        <f t="shared" si="92"/>
        <v>1977.5119999999952</v>
      </c>
      <c r="M87" s="116">
        <f t="shared" si="93"/>
        <v>105.94094558670632</v>
      </c>
      <c r="N87" s="125">
        <f>SUM(N88:N90)</f>
        <v>18835.333333333332</v>
      </c>
      <c r="O87" s="125">
        <f t="shared" si="94"/>
        <v>16428.327666666668</v>
      </c>
      <c r="P87" s="116">
        <f t="shared" si="95"/>
        <v>187.22079602166144</v>
      </c>
      <c r="Q87" s="116">
        <f t="shared" si="96"/>
        <v>62.406932007220476</v>
      </c>
      <c r="R87" s="125">
        <f>SUM(R88:R90)</f>
        <v>24224.222999999998</v>
      </c>
      <c r="S87" s="71">
        <f t="shared" si="98"/>
        <v>11039.438000000002</v>
      </c>
      <c r="T87" s="72">
        <f t="shared" si="99"/>
        <v>145.57189718737317</v>
      </c>
      <c r="U87" s="51"/>
    </row>
    <row r="88" spans="1:21" s="53" customFormat="1" ht="39" x14ac:dyDescent="0.3">
      <c r="A88" s="13" t="s">
        <v>155</v>
      </c>
      <c r="B88" s="80" t="s">
        <v>126</v>
      </c>
      <c r="C88" s="16" t="s">
        <v>44</v>
      </c>
      <c r="D88" s="134">
        <v>0</v>
      </c>
      <c r="E88" s="134">
        <v>6</v>
      </c>
      <c r="F88" s="132">
        <f t="shared" si="88"/>
        <v>20</v>
      </c>
      <c r="G88" s="132">
        <v>4</v>
      </c>
      <c r="H88" s="132">
        <v>2</v>
      </c>
      <c r="I88" s="132">
        <v>0</v>
      </c>
      <c r="J88" s="132">
        <v>14</v>
      </c>
      <c r="K88" s="132">
        <v>6</v>
      </c>
      <c r="L88" s="132">
        <f t="shared" si="92"/>
        <v>14</v>
      </c>
      <c r="M88" s="122">
        <f t="shared" si="93"/>
        <v>333.33333333333337</v>
      </c>
      <c r="N88" s="132">
        <f t="shared" ref="N88:N91" si="102">E88/12*4</f>
        <v>2</v>
      </c>
      <c r="O88" s="132">
        <f t="shared" si="94"/>
        <v>18</v>
      </c>
      <c r="P88" s="118">
        <f t="shared" ref="P88" si="103">F88/N88*100</f>
        <v>1000</v>
      </c>
      <c r="Q88" s="118">
        <f t="shared" ref="Q88" si="104">F88/E88*100</f>
        <v>333.33333333333337</v>
      </c>
      <c r="R88" s="132">
        <v>28.568999999999999</v>
      </c>
      <c r="S88" s="92">
        <f t="shared" si="98"/>
        <v>-8.5689999999999991</v>
      </c>
      <c r="T88" s="93">
        <f t="shared" si="99"/>
        <v>70.005950505792995</v>
      </c>
    </row>
    <row r="89" spans="1:21" s="53" customFormat="1" ht="39" x14ac:dyDescent="0.3">
      <c r="A89" s="13" t="s">
        <v>156</v>
      </c>
      <c r="B89" s="80" t="s">
        <v>36</v>
      </c>
      <c r="C89" s="16" t="s">
        <v>22</v>
      </c>
      <c r="D89" s="134">
        <v>4050</v>
      </c>
      <c r="E89" s="134">
        <f>4050+1450</f>
        <v>5500</v>
      </c>
      <c r="F89" s="132">
        <f t="shared" si="88"/>
        <v>5500</v>
      </c>
      <c r="G89" s="132">
        <v>5500</v>
      </c>
      <c r="H89" s="132">
        <v>0</v>
      </c>
      <c r="I89" s="132">
        <v>0</v>
      </c>
      <c r="J89" s="132">
        <v>0</v>
      </c>
      <c r="K89" s="132">
        <v>5500</v>
      </c>
      <c r="L89" s="132">
        <f t="shared" si="92"/>
        <v>0</v>
      </c>
      <c r="M89" s="122">
        <f t="shared" si="93"/>
        <v>100</v>
      </c>
      <c r="N89" s="132">
        <f t="shared" si="102"/>
        <v>1833.3333333333333</v>
      </c>
      <c r="O89" s="132">
        <f t="shared" si="94"/>
        <v>3666.666666666667</v>
      </c>
      <c r="P89" s="118">
        <f t="shared" si="95"/>
        <v>300</v>
      </c>
      <c r="Q89" s="118">
        <f t="shared" si="96"/>
        <v>100</v>
      </c>
      <c r="R89" s="132">
        <v>268.565</v>
      </c>
      <c r="S89" s="92">
        <f t="shared" si="98"/>
        <v>5231.4350000000004</v>
      </c>
      <c r="T89" s="93">
        <f t="shared" si="99"/>
        <v>2047.921359819783</v>
      </c>
    </row>
    <row r="90" spans="1:21" s="52" customFormat="1" ht="29.25" customHeight="1" x14ac:dyDescent="0.3">
      <c r="A90" s="13" t="s">
        <v>157</v>
      </c>
      <c r="B90" s="37" t="s">
        <v>64</v>
      </c>
      <c r="C90" s="16" t="s">
        <v>42</v>
      </c>
      <c r="D90" s="134">
        <v>51000</v>
      </c>
      <c r="E90" s="134">
        <v>51000</v>
      </c>
      <c r="F90" s="134">
        <f t="shared" si="88"/>
        <v>29743.661000000004</v>
      </c>
      <c r="G90" s="134">
        <v>12276.466</v>
      </c>
      <c r="H90" s="134">
        <v>6181.8270000000002</v>
      </c>
      <c r="I90" s="134">
        <v>6430.4530000000004</v>
      </c>
      <c r="J90" s="134">
        <v>4854.915</v>
      </c>
      <c r="K90" s="134">
        <v>27780.149000000001</v>
      </c>
      <c r="L90" s="134">
        <f t="shared" si="92"/>
        <v>1963.5120000000024</v>
      </c>
      <c r="M90" s="122">
        <f t="shared" si="93"/>
        <v>107.06803984384679</v>
      </c>
      <c r="N90" s="134">
        <f t="shared" si="102"/>
        <v>17000</v>
      </c>
      <c r="O90" s="134">
        <f t="shared" si="94"/>
        <v>12743.661000000004</v>
      </c>
      <c r="P90" s="122">
        <f t="shared" si="95"/>
        <v>174.96271176470592</v>
      </c>
      <c r="Q90" s="122">
        <f t="shared" si="96"/>
        <v>58.320903921568636</v>
      </c>
      <c r="R90" s="134">
        <v>23927.089</v>
      </c>
      <c r="S90" s="92">
        <f t="shared" si="98"/>
        <v>5816.5720000000038</v>
      </c>
      <c r="T90" s="93">
        <f>F90/R90*100</f>
        <v>124.30956812172181</v>
      </c>
    </row>
    <row r="91" spans="1:21" s="50" customFormat="1" ht="23.25" x14ac:dyDescent="0.3">
      <c r="A91" s="23">
        <v>6</v>
      </c>
      <c r="B91" s="91" t="s">
        <v>11</v>
      </c>
      <c r="C91" s="24" t="s">
        <v>23</v>
      </c>
      <c r="D91" s="133">
        <v>11000</v>
      </c>
      <c r="E91" s="133">
        <v>11000</v>
      </c>
      <c r="F91" s="129">
        <f t="shared" si="88"/>
        <v>2114.48</v>
      </c>
      <c r="G91" s="129">
        <v>557.09799999999996</v>
      </c>
      <c r="H91" s="129">
        <v>462.46</v>
      </c>
      <c r="I91" s="129">
        <v>374.92500000000001</v>
      </c>
      <c r="J91" s="129">
        <v>719.99699999999996</v>
      </c>
      <c r="K91" s="129">
        <v>2076.02</v>
      </c>
      <c r="L91" s="129">
        <f t="shared" si="92"/>
        <v>38.460000000000036</v>
      </c>
      <c r="M91" s="136">
        <f t="shared" si="93"/>
        <v>101.85258330844597</v>
      </c>
      <c r="N91" s="129">
        <f t="shared" si="102"/>
        <v>3666.6666666666665</v>
      </c>
      <c r="O91" s="129">
        <f t="shared" si="94"/>
        <v>-1552.1866666666665</v>
      </c>
      <c r="P91" s="136">
        <f t="shared" si="95"/>
        <v>57.667636363636362</v>
      </c>
      <c r="Q91" s="136">
        <f t="shared" si="96"/>
        <v>19.222545454545457</v>
      </c>
      <c r="R91" s="129">
        <v>3398.4459999999999</v>
      </c>
      <c r="S91" s="130">
        <f t="shared" si="98"/>
        <v>-1283.9659999999999</v>
      </c>
      <c r="T91" s="131">
        <f>F91/R91*100</f>
        <v>62.219025990114304</v>
      </c>
    </row>
    <row r="92" spans="1:21" s="45" customFormat="1" ht="39" customHeight="1" x14ac:dyDescent="0.3">
      <c r="A92" s="43"/>
      <c r="B92" s="169" t="s">
        <v>147</v>
      </c>
      <c r="C92" s="44"/>
      <c r="D92" s="124">
        <f>D81+D84+D86+D88+D89+D90+D91</f>
        <v>189976.747</v>
      </c>
      <c r="E92" s="124">
        <f>E81+E84+E86+E88+E89+E90+E91</f>
        <v>191432.747</v>
      </c>
      <c r="F92" s="124">
        <f t="shared" si="88"/>
        <v>97827.290000000008</v>
      </c>
      <c r="G92" s="124">
        <f>G81+G84+G86+G88+G89+G90+G91</f>
        <v>28577.845999999998</v>
      </c>
      <c r="H92" s="124">
        <f>H81+H84+H86+H88+H89+H90+H91</f>
        <v>20883.606</v>
      </c>
      <c r="I92" s="124">
        <f>I81+I84+I86+I88+I89+I90+I91</f>
        <v>22437.513999999999</v>
      </c>
      <c r="J92" s="124">
        <f>J81+J84+J86+J88+J89+J90+J91</f>
        <v>25928.324000000004</v>
      </c>
      <c r="K92" s="124">
        <f>K81+K84+K86+K88+K89+K90+K91</f>
        <v>76249.236000000004</v>
      </c>
      <c r="L92" s="124">
        <f t="shared" si="92"/>
        <v>21578.054000000004</v>
      </c>
      <c r="M92" s="120">
        <f t="shared" si="93"/>
        <v>128.29937076353133</v>
      </c>
      <c r="N92" s="124">
        <f>N81+N84+N86+N88+N89+N90+N91</f>
        <v>63810.915666666668</v>
      </c>
      <c r="O92" s="124">
        <f t="shared" si="94"/>
        <v>34016.37433333334</v>
      </c>
      <c r="P92" s="120">
        <f t="shared" si="95"/>
        <v>153.30808056575609</v>
      </c>
      <c r="Q92" s="120">
        <f t="shared" si="96"/>
        <v>51.102693521918695</v>
      </c>
      <c r="R92" s="124">
        <f>R81+R84+R86+R88+R89+R90+R91+R85</f>
        <v>127448.72200000001</v>
      </c>
      <c r="S92" s="67">
        <f t="shared" si="98"/>
        <v>-29621.432000000001</v>
      </c>
      <c r="T92" s="68">
        <f>F92/R92*100</f>
        <v>76.758156900153153</v>
      </c>
    </row>
    <row r="93" spans="1:21" s="26" customFormat="1" ht="97.5" hidden="1" customHeight="1" x14ac:dyDescent="0.25">
      <c r="A93" s="23">
        <v>1</v>
      </c>
      <c r="B93" s="49" t="s">
        <v>141</v>
      </c>
      <c r="C93" s="24" t="s">
        <v>68</v>
      </c>
      <c r="D93" s="133"/>
      <c r="E93" s="133"/>
      <c r="F93" s="133">
        <f t="shared" si="88"/>
        <v>0</v>
      </c>
      <c r="G93" s="133"/>
      <c r="H93" s="133"/>
      <c r="I93" s="133"/>
      <c r="J93" s="133"/>
      <c r="K93" s="133"/>
      <c r="L93" s="133">
        <f t="shared" si="92"/>
        <v>0</v>
      </c>
      <c r="M93" s="94"/>
      <c r="N93" s="133">
        <f>K93</f>
        <v>0</v>
      </c>
      <c r="O93" s="133">
        <f t="shared" si="94"/>
        <v>0</v>
      </c>
      <c r="P93" s="94"/>
      <c r="Q93" s="94"/>
      <c r="R93" s="133"/>
      <c r="S93" s="130">
        <f t="shared" si="98"/>
        <v>0</v>
      </c>
      <c r="T93" s="131"/>
    </row>
    <row r="94" spans="1:21" s="26" customFormat="1" ht="44.25" hidden="1" customHeight="1" x14ac:dyDescent="0.25">
      <c r="A94" s="23">
        <v>1</v>
      </c>
      <c r="B94" s="49" t="s">
        <v>153</v>
      </c>
      <c r="C94" s="24" t="s">
        <v>154</v>
      </c>
      <c r="D94" s="133"/>
      <c r="E94" s="133"/>
      <c r="F94" s="133">
        <f t="shared" si="88"/>
        <v>0</v>
      </c>
      <c r="G94" s="133"/>
      <c r="H94" s="133"/>
      <c r="I94" s="133"/>
      <c r="J94" s="133"/>
      <c r="K94" s="133"/>
      <c r="L94" s="133">
        <f t="shared" si="92"/>
        <v>0</v>
      </c>
      <c r="M94" s="94"/>
      <c r="N94" s="133">
        <f>K94</f>
        <v>0</v>
      </c>
      <c r="O94" s="133">
        <f t="shared" si="94"/>
        <v>0</v>
      </c>
      <c r="P94" s="94"/>
      <c r="Q94" s="94"/>
      <c r="R94" s="133"/>
      <c r="S94" s="130">
        <f t="shared" si="98"/>
        <v>0</v>
      </c>
      <c r="T94" s="131"/>
    </row>
    <row r="95" spans="1:21" s="26" customFormat="1" ht="23.25" x14ac:dyDescent="0.25">
      <c r="A95" s="23"/>
      <c r="B95" s="49"/>
      <c r="C95" s="24"/>
      <c r="D95" s="133"/>
      <c r="E95" s="133"/>
      <c r="F95" s="133"/>
      <c r="G95" s="133"/>
      <c r="H95" s="133"/>
      <c r="I95" s="133"/>
      <c r="J95" s="133"/>
      <c r="K95" s="133"/>
      <c r="L95" s="133"/>
      <c r="M95" s="94"/>
      <c r="N95" s="133"/>
      <c r="O95" s="133"/>
      <c r="P95" s="94"/>
      <c r="Q95" s="94"/>
      <c r="R95" s="133"/>
      <c r="S95" s="130"/>
      <c r="T95" s="131"/>
    </row>
    <row r="96" spans="1:21" s="41" customFormat="1" ht="44.25" customHeight="1" x14ac:dyDescent="0.3">
      <c r="A96" s="39"/>
      <c r="B96" s="42" t="s">
        <v>27</v>
      </c>
      <c r="C96" s="44"/>
      <c r="D96" s="124">
        <f>D97</f>
        <v>0</v>
      </c>
      <c r="E96" s="124">
        <f>E97</f>
        <v>0</v>
      </c>
      <c r="F96" s="124">
        <f t="shared" si="88"/>
        <v>0</v>
      </c>
      <c r="G96" s="124">
        <f>G97</f>
        <v>0</v>
      </c>
      <c r="H96" s="124">
        <f>H97</f>
        <v>0</v>
      </c>
      <c r="I96" s="124">
        <f>I97</f>
        <v>0</v>
      </c>
      <c r="J96" s="124">
        <f>J97</f>
        <v>0</v>
      </c>
      <c r="K96" s="124">
        <f>K97</f>
        <v>0</v>
      </c>
      <c r="L96" s="124">
        <f t="shared" si="92"/>
        <v>0</v>
      </c>
      <c r="M96" s="120"/>
      <c r="N96" s="124">
        <f>N97</f>
        <v>0</v>
      </c>
      <c r="O96" s="124">
        <f t="shared" si="94"/>
        <v>0</v>
      </c>
      <c r="P96" s="120"/>
      <c r="Q96" s="120"/>
      <c r="R96" s="124">
        <f>R97</f>
        <v>0</v>
      </c>
      <c r="S96" s="67">
        <f t="shared" si="98"/>
        <v>0</v>
      </c>
      <c r="T96" s="68"/>
    </row>
    <row r="97" spans="1:22" s="117" customFormat="1" ht="36" customHeight="1" x14ac:dyDescent="0.25">
      <c r="A97" s="32"/>
      <c r="B97" s="115" t="s">
        <v>69</v>
      </c>
      <c r="C97" s="25"/>
      <c r="D97" s="125">
        <f>D98+D99</f>
        <v>0</v>
      </c>
      <c r="E97" s="125">
        <f>E98+E99</f>
        <v>0</v>
      </c>
      <c r="F97" s="125">
        <f t="shared" si="88"/>
        <v>0</v>
      </c>
      <c r="G97" s="125">
        <f>G98+G99</f>
        <v>0</v>
      </c>
      <c r="H97" s="125">
        <f>H98+H99</f>
        <v>0</v>
      </c>
      <c r="I97" s="125">
        <f>I98+I99</f>
        <v>0</v>
      </c>
      <c r="J97" s="125">
        <f>J98+J99</f>
        <v>0</v>
      </c>
      <c r="K97" s="125">
        <f>K98+K99</f>
        <v>0</v>
      </c>
      <c r="L97" s="125">
        <f t="shared" si="92"/>
        <v>0</v>
      </c>
      <c r="M97" s="116"/>
      <c r="N97" s="125">
        <f>N98+N99</f>
        <v>0</v>
      </c>
      <c r="O97" s="125">
        <f t="shared" si="94"/>
        <v>0</v>
      </c>
      <c r="P97" s="116"/>
      <c r="Q97" s="116"/>
      <c r="R97" s="125">
        <f>R98+R99</f>
        <v>0</v>
      </c>
      <c r="S97" s="71">
        <f t="shared" si="98"/>
        <v>0</v>
      </c>
      <c r="T97" s="72"/>
    </row>
    <row r="98" spans="1:22" s="7" customFormat="1" ht="31.5" customHeight="1" x14ac:dyDescent="0.25">
      <c r="A98" s="13"/>
      <c r="B98" s="16" t="s">
        <v>96</v>
      </c>
      <c r="C98" s="16"/>
      <c r="D98" s="134">
        <f>D93</f>
        <v>0</v>
      </c>
      <c r="E98" s="134">
        <f>E93</f>
        <v>0</v>
      </c>
      <c r="F98" s="134">
        <f t="shared" si="88"/>
        <v>0</v>
      </c>
      <c r="G98" s="134">
        <f>G93</f>
        <v>0</v>
      </c>
      <c r="H98" s="134">
        <f>H93</f>
        <v>0</v>
      </c>
      <c r="I98" s="134">
        <f>I93</f>
        <v>0</v>
      </c>
      <c r="J98" s="134">
        <f>J93</f>
        <v>0</v>
      </c>
      <c r="K98" s="134">
        <f>K93</f>
        <v>0</v>
      </c>
      <c r="L98" s="134">
        <f t="shared" si="92"/>
        <v>0</v>
      </c>
      <c r="M98" s="122"/>
      <c r="N98" s="134">
        <f>N93</f>
        <v>0</v>
      </c>
      <c r="O98" s="134">
        <f t="shared" si="94"/>
        <v>0</v>
      </c>
      <c r="P98" s="122"/>
      <c r="Q98" s="122"/>
      <c r="R98" s="134">
        <f>R93</f>
        <v>0</v>
      </c>
      <c r="S98" s="92">
        <f t="shared" si="98"/>
        <v>0</v>
      </c>
      <c r="T98" s="93"/>
    </row>
    <row r="99" spans="1:22" s="7" customFormat="1" ht="31.5" customHeight="1" x14ac:dyDescent="0.25">
      <c r="A99" s="13"/>
      <c r="B99" s="113" t="s">
        <v>95</v>
      </c>
      <c r="C99" s="16"/>
      <c r="D99" s="134"/>
      <c r="E99" s="134"/>
      <c r="F99" s="134">
        <f t="shared" si="88"/>
        <v>0</v>
      </c>
      <c r="G99" s="134"/>
      <c r="H99" s="134"/>
      <c r="I99" s="134"/>
      <c r="J99" s="134"/>
      <c r="K99" s="134"/>
      <c r="L99" s="134">
        <f t="shared" si="92"/>
        <v>0</v>
      </c>
      <c r="M99" s="122"/>
      <c r="N99" s="134"/>
      <c r="O99" s="134">
        <f t="shared" si="94"/>
        <v>0</v>
      </c>
      <c r="P99" s="122"/>
      <c r="Q99" s="122"/>
      <c r="R99" s="134"/>
      <c r="S99" s="92">
        <f t="shared" si="98"/>
        <v>0</v>
      </c>
      <c r="T99" s="93"/>
    </row>
    <row r="100" spans="1:22" s="117" customFormat="1" ht="22.5" x14ac:dyDescent="0.25">
      <c r="A100" s="32"/>
      <c r="B100" s="115"/>
      <c r="C100" s="25"/>
      <c r="D100" s="125"/>
      <c r="E100" s="125"/>
      <c r="F100" s="125"/>
      <c r="G100" s="125"/>
      <c r="H100" s="125"/>
      <c r="I100" s="125"/>
      <c r="J100" s="125"/>
      <c r="K100" s="125"/>
      <c r="L100" s="125"/>
      <c r="M100" s="116"/>
      <c r="N100" s="125"/>
      <c r="O100" s="125"/>
      <c r="P100" s="116"/>
      <c r="Q100" s="116"/>
      <c r="R100" s="125"/>
      <c r="S100" s="71"/>
      <c r="T100" s="72"/>
    </row>
    <row r="101" spans="1:22" s="105" customFormat="1" ht="29.25" customHeight="1" x14ac:dyDescent="0.3">
      <c r="A101" s="99"/>
      <c r="B101" s="100" t="s">
        <v>41</v>
      </c>
      <c r="C101" s="106"/>
      <c r="D101" s="137">
        <f>D92+D96</f>
        <v>189976.747</v>
      </c>
      <c r="E101" s="137">
        <f>E92+E96</f>
        <v>191432.747</v>
      </c>
      <c r="F101" s="137">
        <f t="shared" si="88"/>
        <v>97827.290000000008</v>
      </c>
      <c r="G101" s="137">
        <f>G92+G96</f>
        <v>28577.845999999998</v>
      </c>
      <c r="H101" s="137">
        <f>H92+H96</f>
        <v>20883.606</v>
      </c>
      <c r="I101" s="137">
        <f>I92+I96</f>
        <v>22437.513999999999</v>
      </c>
      <c r="J101" s="137">
        <f>J92+J96</f>
        <v>25928.324000000004</v>
      </c>
      <c r="K101" s="137">
        <f>K92+K96</f>
        <v>76249.236000000004</v>
      </c>
      <c r="L101" s="137">
        <f t="shared" si="92"/>
        <v>21578.054000000004</v>
      </c>
      <c r="M101" s="123">
        <f t="shared" si="93"/>
        <v>128.29937076353133</v>
      </c>
      <c r="N101" s="137">
        <f>N92+N96</f>
        <v>63810.915666666668</v>
      </c>
      <c r="O101" s="137">
        <f t="shared" si="94"/>
        <v>34016.37433333334</v>
      </c>
      <c r="P101" s="123">
        <f t="shared" si="95"/>
        <v>153.30808056575609</v>
      </c>
      <c r="Q101" s="123">
        <f t="shared" si="96"/>
        <v>51.102693521918695</v>
      </c>
      <c r="R101" s="137">
        <f>R92+R96</f>
        <v>127448.72200000001</v>
      </c>
      <c r="S101" s="102">
        <f>F101-R101</f>
        <v>-29621.432000000001</v>
      </c>
      <c r="T101" s="103">
        <f>F101/R101*100</f>
        <v>76.758156900153153</v>
      </c>
      <c r="U101" s="137">
        <v>127448.72200000001</v>
      </c>
      <c r="V101" s="137">
        <f>U101-R101</f>
        <v>0</v>
      </c>
    </row>
    <row r="102" spans="1:22" s="12" customFormat="1" ht="26.25" customHeight="1" x14ac:dyDescent="0.25">
      <c r="A102" s="176" t="s">
        <v>40</v>
      </c>
      <c r="B102" s="176"/>
      <c r="C102" s="176"/>
      <c r="D102" s="176"/>
      <c r="E102" s="176"/>
      <c r="F102" s="176"/>
      <c r="G102" s="176"/>
      <c r="H102" s="176"/>
      <c r="I102" s="176"/>
      <c r="J102" s="176"/>
      <c r="K102" s="176"/>
      <c r="L102" s="176"/>
      <c r="M102" s="176"/>
      <c r="N102" s="176"/>
      <c r="O102" s="176"/>
      <c r="P102" s="176"/>
      <c r="Q102" s="176"/>
      <c r="R102" s="176"/>
      <c r="S102" s="176"/>
      <c r="T102" s="176"/>
    </row>
    <row r="103" spans="1:22" s="105" customFormat="1" ht="36.75" customHeight="1" x14ac:dyDescent="0.3">
      <c r="A103" s="107"/>
      <c r="B103" s="100" t="s">
        <v>149</v>
      </c>
      <c r="C103" s="106"/>
      <c r="D103" s="137">
        <f>D51+D92</f>
        <v>7779695.4229999995</v>
      </c>
      <c r="E103" s="137">
        <f>E51+E92</f>
        <v>7927226.4230000004</v>
      </c>
      <c r="F103" s="137">
        <f t="shared" si="88"/>
        <v>2632878.8219999997</v>
      </c>
      <c r="G103" s="137">
        <f>G51+G92</f>
        <v>637720.94100000011</v>
      </c>
      <c r="H103" s="137">
        <f>H51+H92</f>
        <v>654355.1590000001</v>
      </c>
      <c r="I103" s="137">
        <f>I51+I92</f>
        <v>589313.69099999988</v>
      </c>
      <c r="J103" s="137">
        <f>J51+J92</f>
        <v>751489.03099999996</v>
      </c>
      <c r="K103" s="137">
        <f>K51+K92</f>
        <v>2355236.1359999995</v>
      </c>
      <c r="L103" s="137">
        <f t="shared" ref="L103:L113" si="105">F103-K103</f>
        <v>277642.68600000022</v>
      </c>
      <c r="M103" s="123">
        <f t="shared" ref="M103:M113" si="106">F103/K103*100</f>
        <v>111.78831632871993</v>
      </c>
      <c r="N103" s="137">
        <f>N51+N92</f>
        <v>2642408.8076666659</v>
      </c>
      <c r="O103" s="137">
        <f t="shared" ref="O103:O113" si="107">F103-N103</f>
        <v>-9529.9856666661799</v>
      </c>
      <c r="P103" s="123">
        <f t="shared" ref="P103:P113" si="108">F103/N103*100</f>
        <v>99.639344766070408</v>
      </c>
      <c r="Q103" s="123">
        <f t="shared" ref="Q103:Q113" si="109">F103/E103*100</f>
        <v>33.213114922023465</v>
      </c>
      <c r="R103" s="137">
        <f>R51+R92</f>
        <v>2227401.5190000003</v>
      </c>
      <c r="S103" s="102">
        <f>F103-R103</f>
        <v>405477.30299999937</v>
      </c>
      <c r="T103" s="103">
        <f>F103/R103*100</f>
        <v>118.20405075336573</v>
      </c>
    </row>
    <row r="104" spans="1:22" s="30" customFormat="1" ht="22.5" x14ac:dyDescent="0.3">
      <c r="A104" s="114"/>
      <c r="B104" s="15"/>
      <c r="C104" s="25"/>
      <c r="D104" s="125"/>
      <c r="E104" s="125"/>
      <c r="F104" s="125"/>
      <c r="G104" s="125"/>
      <c r="H104" s="125"/>
      <c r="I104" s="125"/>
      <c r="J104" s="125"/>
      <c r="K104" s="125"/>
      <c r="L104" s="125"/>
      <c r="M104" s="116"/>
      <c r="N104" s="125"/>
      <c r="O104" s="125"/>
      <c r="P104" s="116"/>
      <c r="Q104" s="116"/>
      <c r="R104" s="125"/>
      <c r="S104" s="71"/>
      <c r="T104" s="72"/>
    </row>
    <row r="105" spans="1:22" s="144" customFormat="1" ht="31.5" customHeight="1" x14ac:dyDescent="0.3">
      <c r="A105" s="138"/>
      <c r="B105" s="139" t="s">
        <v>65</v>
      </c>
      <c r="C105" s="24"/>
      <c r="D105" s="140">
        <v>-666302.6</v>
      </c>
      <c r="E105" s="140">
        <v>-666302.6</v>
      </c>
      <c r="F105" s="140">
        <f t="shared" si="88"/>
        <v>-222100.8</v>
      </c>
      <c r="G105" s="140">
        <v>-55525.2</v>
      </c>
      <c r="H105" s="140">
        <v>-55525.2</v>
      </c>
      <c r="I105" s="140">
        <v>-55525.2</v>
      </c>
      <c r="J105" s="140">
        <v>-55525.2</v>
      </c>
      <c r="K105" s="140">
        <f>F105</f>
        <v>-222100.8</v>
      </c>
      <c r="L105" s="140">
        <f t="shared" si="105"/>
        <v>0</v>
      </c>
      <c r="M105" s="141">
        <f t="shared" ref="M105" si="110">F105/K105*100</f>
        <v>100</v>
      </c>
      <c r="N105" s="140">
        <f>K105</f>
        <v>-222100.8</v>
      </c>
      <c r="O105" s="140">
        <f t="shared" si="107"/>
        <v>0</v>
      </c>
      <c r="P105" s="141">
        <f>F105/N105*100</f>
        <v>100</v>
      </c>
      <c r="Q105" s="141">
        <f>F105/E105*100</f>
        <v>33.333323327869344</v>
      </c>
      <c r="R105" s="140">
        <v>-88546.4</v>
      </c>
      <c r="S105" s="142">
        <f>F105-R105</f>
        <v>-133554.4</v>
      </c>
      <c r="T105" s="143">
        <f>F105/R105*100</f>
        <v>250.82984740204006</v>
      </c>
    </row>
    <row r="106" spans="1:22" s="30" customFormat="1" ht="22.5" x14ac:dyDescent="0.3">
      <c r="A106" s="11"/>
      <c r="B106" s="15"/>
      <c r="C106" s="25"/>
      <c r="D106" s="125"/>
      <c r="E106" s="125"/>
      <c r="F106" s="125"/>
      <c r="G106" s="125"/>
      <c r="H106" s="125"/>
      <c r="I106" s="125"/>
      <c r="J106" s="125"/>
      <c r="K106" s="125"/>
      <c r="L106" s="125"/>
      <c r="M106" s="116"/>
      <c r="N106" s="125"/>
      <c r="O106" s="125"/>
      <c r="P106" s="116"/>
      <c r="Q106" s="116"/>
      <c r="R106" s="125"/>
      <c r="S106" s="71"/>
      <c r="T106" s="72"/>
    </row>
    <row r="107" spans="1:22" s="41" customFormat="1" ht="32.25" customHeight="1" x14ac:dyDescent="0.3">
      <c r="A107" s="39"/>
      <c r="B107" s="42" t="s">
        <v>27</v>
      </c>
      <c r="C107" s="44"/>
      <c r="D107" s="124">
        <f>D108+D109+D110</f>
        <v>62807.991000000002</v>
      </c>
      <c r="E107" s="124">
        <f>E108+E109+E110</f>
        <v>1064834.54</v>
      </c>
      <c r="F107" s="124">
        <f t="shared" si="88"/>
        <v>534335.26599999995</v>
      </c>
      <c r="G107" s="124">
        <f t="shared" ref="G107:K107" si="111">G108+G109+G110</f>
        <v>128823.25599999999</v>
      </c>
      <c r="H107" s="124">
        <f t="shared" ref="H107:J107" si="112">H108+H109+H110</f>
        <v>129746.04899999998</v>
      </c>
      <c r="I107" s="124">
        <f t="shared" ref="I107" si="113">I108+I109+I110</f>
        <v>129619.95299999999</v>
      </c>
      <c r="J107" s="124">
        <f t="shared" si="112"/>
        <v>146146.008</v>
      </c>
      <c r="K107" s="124">
        <f t="shared" si="111"/>
        <v>524857.15599999984</v>
      </c>
      <c r="L107" s="124">
        <f t="shared" si="105"/>
        <v>9478.1100000001024</v>
      </c>
      <c r="M107" s="120">
        <f t="shared" si="106"/>
        <v>101.80584562707193</v>
      </c>
      <c r="N107" s="124">
        <f>N108+N109+N110</f>
        <v>519227.05599999992</v>
      </c>
      <c r="O107" s="124">
        <f t="shared" si="107"/>
        <v>15108.210000000021</v>
      </c>
      <c r="P107" s="120">
        <f t="shared" si="108"/>
        <v>102.90975014214206</v>
      </c>
      <c r="Q107" s="120">
        <f t="shared" si="109"/>
        <v>50.180121505074382</v>
      </c>
      <c r="R107" s="124">
        <f>R108+R109+R110</f>
        <v>313127.02999999997</v>
      </c>
      <c r="S107" s="67">
        <f t="shared" ref="S107:S113" si="114">F107-R107</f>
        <v>221208.23599999998</v>
      </c>
      <c r="T107" s="68">
        <f>F107/R107*100</f>
        <v>170.64488683714083</v>
      </c>
    </row>
    <row r="108" spans="1:22" s="165" customFormat="1" ht="36.75" customHeight="1" x14ac:dyDescent="0.35">
      <c r="A108" s="161"/>
      <c r="B108" s="112" t="s">
        <v>134</v>
      </c>
      <c r="C108" s="135"/>
      <c r="D108" s="162">
        <f>D73</f>
        <v>30609.4</v>
      </c>
      <c r="E108" s="162">
        <f>E73</f>
        <v>30609.4</v>
      </c>
      <c r="F108" s="162">
        <f t="shared" si="88"/>
        <v>10203.200000000001</v>
      </c>
      <c r="G108" s="162">
        <f>G73</f>
        <v>2550.8000000000002</v>
      </c>
      <c r="H108" s="162">
        <f t="shared" ref="H108" si="115">H73</f>
        <v>2550.8000000000002</v>
      </c>
      <c r="I108" s="162">
        <f t="shared" ref="I108:K109" si="116">I73</f>
        <v>2550.8000000000002</v>
      </c>
      <c r="J108" s="162">
        <f t="shared" si="116"/>
        <v>2550.8000000000002</v>
      </c>
      <c r="K108" s="162">
        <f t="shared" si="116"/>
        <v>10203.200000000001</v>
      </c>
      <c r="L108" s="162">
        <f t="shared" si="105"/>
        <v>0</v>
      </c>
      <c r="M108" s="121">
        <f t="shared" si="106"/>
        <v>100</v>
      </c>
      <c r="N108" s="162">
        <f>N73</f>
        <v>10203.200000000001</v>
      </c>
      <c r="O108" s="162">
        <f t="shared" si="107"/>
        <v>0</v>
      </c>
      <c r="P108" s="121">
        <f t="shared" ref="P108" si="117">F108/N108*100</f>
        <v>100</v>
      </c>
      <c r="Q108" s="121">
        <f t="shared" ref="Q108" si="118">F108/E108*100</f>
        <v>33.333551131351804</v>
      </c>
      <c r="R108" s="162">
        <f>R73</f>
        <v>0</v>
      </c>
      <c r="S108" s="163">
        <f t="shared" si="114"/>
        <v>10203.200000000001</v>
      </c>
      <c r="T108" s="164"/>
    </row>
    <row r="109" spans="1:22" s="165" customFormat="1" ht="23.25" hidden="1" customHeight="1" x14ac:dyDescent="0.35">
      <c r="A109" s="161"/>
      <c r="B109" s="112" t="s">
        <v>105</v>
      </c>
      <c r="C109" s="135"/>
      <c r="D109" s="162">
        <f>D74</f>
        <v>0</v>
      </c>
      <c r="E109" s="162">
        <f>E74</f>
        <v>0</v>
      </c>
      <c r="F109" s="162">
        <f t="shared" si="88"/>
        <v>0</v>
      </c>
      <c r="G109" s="162">
        <f>G74</f>
        <v>0</v>
      </c>
      <c r="H109" s="162">
        <f t="shared" ref="H109" si="119">H74</f>
        <v>0</v>
      </c>
      <c r="I109" s="162">
        <f t="shared" si="116"/>
        <v>0</v>
      </c>
      <c r="J109" s="162">
        <f t="shared" si="116"/>
        <v>0</v>
      </c>
      <c r="K109" s="162">
        <f t="shared" si="116"/>
        <v>0</v>
      </c>
      <c r="L109" s="162">
        <f t="shared" si="105"/>
        <v>0</v>
      </c>
      <c r="M109" s="121"/>
      <c r="N109" s="162">
        <f>N74</f>
        <v>0</v>
      </c>
      <c r="O109" s="162">
        <f t="shared" si="107"/>
        <v>0</v>
      </c>
      <c r="P109" s="121"/>
      <c r="Q109" s="121"/>
      <c r="R109" s="162">
        <f>R74</f>
        <v>1004.4590000000001</v>
      </c>
      <c r="S109" s="163">
        <f t="shared" si="114"/>
        <v>-1004.4590000000001</v>
      </c>
      <c r="T109" s="164"/>
    </row>
    <row r="110" spans="1:22" s="47" customFormat="1" ht="34.5" customHeight="1" x14ac:dyDescent="0.3">
      <c r="A110" s="108"/>
      <c r="B110" s="48" t="s">
        <v>69</v>
      </c>
      <c r="C110" s="46"/>
      <c r="D110" s="125">
        <f>D111+D112</f>
        <v>32198.591</v>
      </c>
      <c r="E110" s="125">
        <f>E111+E112</f>
        <v>1034225.14</v>
      </c>
      <c r="F110" s="125">
        <f t="shared" si="88"/>
        <v>524132.06599999999</v>
      </c>
      <c r="G110" s="125">
        <f t="shared" ref="G110:K110" si="120">G111+G112</f>
        <v>126272.45599999999</v>
      </c>
      <c r="H110" s="125">
        <f t="shared" ref="H110:J110" si="121">H111+H112</f>
        <v>127195.24899999998</v>
      </c>
      <c r="I110" s="125">
        <f t="shared" ref="I110" si="122">I111+I112</f>
        <v>127069.15299999999</v>
      </c>
      <c r="J110" s="125">
        <f t="shared" si="121"/>
        <v>143595.20800000001</v>
      </c>
      <c r="K110" s="125">
        <f t="shared" si="120"/>
        <v>514653.95599999989</v>
      </c>
      <c r="L110" s="125">
        <f t="shared" si="105"/>
        <v>9478.1100000001024</v>
      </c>
      <c r="M110" s="116">
        <f t="shared" si="106"/>
        <v>101.84164716689754</v>
      </c>
      <c r="N110" s="125">
        <f t="shared" ref="N110" si="123">N111+N112</f>
        <v>509023.85599999991</v>
      </c>
      <c r="O110" s="125">
        <f t="shared" si="107"/>
        <v>15108.210000000079</v>
      </c>
      <c r="P110" s="116">
        <f t="shared" si="108"/>
        <v>102.96807503654604</v>
      </c>
      <c r="Q110" s="116">
        <f t="shared" si="109"/>
        <v>50.678720302621919</v>
      </c>
      <c r="R110" s="125">
        <f t="shared" ref="R110" si="124">R111+R112</f>
        <v>312122.571</v>
      </c>
      <c r="S110" s="71">
        <f t="shared" si="114"/>
        <v>212009.495</v>
      </c>
      <c r="T110" s="72">
        <f>F110/R110*100</f>
        <v>167.92507645978606</v>
      </c>
    </row>
    <row r="111" spans="1:22" s="111" customFormat="1" ht="34.5" customHeight="1" x14ac:dyDescent="0.35">
      <c r="A111" s="109"/>
      <c r="B111" s="110" t="s">
        <v>96</v>
      </c>
      <c r="C111" s="110"/>
      <c r="D111" s="134">
        <f>D76+D98</f>
        <v>0</v>
      </c>
      <c r="E111" s="134">
        <f>E76+E98</f>
        <v>1007980.6</v>
      </c>
      <c r="F111" s="134">
        <f t="shared" si="88"/>
        <v>513131.57900000003</v>
      </c>
      <c r="G111" s="134">
        <f>G76+G98</f>
        <v>123807.9</v>
      </c>
      <c r="H111" s="134">
        <f>H76+H98</f>
        <v>124475.29999999999</v>
      </c>
      <c r="I111" s="134">
        <f>I76+I98</f>
        <v>124141.59999999999</v>
      </c>
      <c r="J111" s="134">
        <f>J76+J98</f>
        <v>140706.77900000001</v>
      </c>
      <c r="K111" s="134">
        <f>K76+K98</f>
        <v>503580.09999999992</v>
      </c>
      <c r="L111" s="134">
        <f t="shared" si="105"/>
        <v>9551.4790000001085</v>
      </c>
      <c r="M111" s="122">
        <f t="shared" si="106"/>
        <v>101.89671494167465</v>
      </c>
      <c r="N111" s="134">
        <f>N76+N98</f>
        <v>497949.99999999994</v>
      </c>
      <c r="O111" s="134">
        <f t="shared" si="107"/>
        <v>15181.579000000085</v>
      </c>
      <c r="P111" s="122">
        <f t="shared" si="108"/>
        <v>103.04881594537605</v>
      </c>
      <c r="Q111" s="122">
        <f t="shared" si="109"/>
        <v>50.906890370707536</v>
      </c>
      <c r="R111" s="134">
        <f>R76+R98</f>
        <v>300822</v>
      </c>
      <c r="S111" s="92">
        <f t="shared" si="114"/>
        <v>212309.57900000003</v>
      </c>
      <c r="T111" s="93">
        <f>F111/R111*100</f>
        <v>170.57648011116208</v>
      </c>
    </row>
    <row r="112" spans="1:22" s="111" customFormat="1" ht="34.5" customHeight="1" x14ac:dyDescent="0.35">
      <c r="A112" s="109"/>
      <c r="B112" s="110" t="s">
        <v>95</v>
      </c>
      <c r="C112" s="110"/>
      <c r="D112" s="134">
        <f>D99+D77</f>
        <v>32198.591</v>
      </c>
      <c r="E112" s="134">
        <f>E99+E77</f>
        <v>26244.539999999997</v>
      </c>
      <c r="F112" s="134">
        <f t="shared" si="88"/>
        <v>11000.486999999999</v>
      </c>
      <c r="G112" s="134">
        <f>G99+G77</f>
        <v>2464.556</v>
      </c>
      <c r="H112" s="134">
        <f>H99+H77</f>
        <v>2719.9489999999996</v>
      </c>
      <c r="I112" s="134">
        <f>I99+I77</f>
        <v>2927.5529999999999</v>
      </c>
      <c r="J112" s="134">
        <f>J99+J77</f>
        <v>2888.4290000000001</v>
      </c>
      <c r="K112" s="134">
        <f>K99+K77</f>
        <v>11073.856</v>
      </c>
      <c r="L112" s="134">
        <f t="shared" si="105"/>
        <v>-73.369000000000597</v>
      </c>
      <c r="M112" s="122">
        <f t="shared" si="106"/>
        <v>99.337457521571523</v>
      </c>
      <c r="N112" s="134">
        <f>N99+N77</f>
        <v>11073.856</v>
      </c>
      <c r="O112" s="134">
        <f t="shared" si="107"/>
        <v>-73.369000000000597</v>
      </c>
      <c r="P112" s="122">
        <f t="shared" si="108"/>
        <v>99.337457521571523</v>
      </c>
      <c r="Q112" s="122">
        <f t="shared" si="109"/>
        <v>41.915335532647937</v>
      </c>
      <c r="R112" s="134">
        <f>R99+R77</f>
        <v>11300.571</v>
      </c>
      <c r="S112" s="92">
        <f t="shared" si="114"/>
        <v>-300.08400000000074</v>
      </c>
      <c r="T112" s="93">
        <f>F112/R112*100</f>
        <v>97.344523564340236</v>
      </c>
    </row>
    <row r="113" spans="1:22" s="105" customFormat="1" ht="64.5" customHeight="1" x14ac:dyDescent="0.3">
      <c r="A113" s="107"/>
      <c r="B113" s="100" t="s">
        <v>120</v>
      </c>
      <c r="C113" s="106"/>
      <c r="D113" s="137">
        <f>D103+D107</f>
        <v>7842503.4139999999</v>
      </c>
      <c r="E113" s="137">
        <f>E103+E107</f>
        <v>8992060.9629999995</v>
      </c>
      <c r="F113" s="137">
        <f t="shared" si="88"/>
        <v>3167214.088</v>
      </c>
      <c r="G113" s="137">
        <f>G103+G107</f>
        <v>766544.19700000016</v>
      </c>
      <c r="H113" s="137">
        <f>H103+H107</f>
        <v>784101.2080000001</v>
      </c>
      <c r="I113" s="137">
        <f>I103+I107</f>
        <v>718933.64399999985</v>
      </c>
      <c r="J113" s="137">
        <f>J103+J107</f>
        <v>897635.03899999999</v>
      </c>
      <c r="K113" s="137">
        <f>K103+K107</f>
        <v>2880093.2919999994</v>
      </c>
      <c r="L113" s="137">
        <f t="shared" si="105"/>
        <v>287120.79600000056</v>
      </c>
      <c r="M113" s="123">
        <f t="shared" si="106"/>
        <v>109.96914915213102</v>
      </c>
      <c r="N113" s="137">
        <f>N103+N107</f>
        <v>3161635.8636666657</v>
      </c>
      <c r="O113" s="137">
        <f t="shared" si="107"/>
        <v>5578.2243333342485</v>
      </c>
      <c r="P113" s="123">
        <f t="shared" si="108"/>
        <v>100.17643475004311</v>
      </c>
      <c r="Q113" s="123">
        <f t="shared" si="109"/>
        <v>35.222337804784296</v>
      </c>
      <c r="R113" s="137">
        <f>R103+R107</f>
        <v>2540528.5490000001</v>
      </c>
      <c r="S113" s="102">
        <f t="shared" si="114"/>
        <v>626685.53899999987</v>
      </c>
      <c r="T113" s="103">
        <f>F113/R113*100</f>
        <v>124.66752594638919</v>
      </c>
      <c r="U113" s="137">
        <v>2540528.5489999996</v>
      </c>
      <c r="V113" s="137">
        <f>U113-R113</f>
        <v>0</v>
      </c>
    </row>
    <row r="114" spans="1:22" s="14" customFormat="1" ht="68.25" customHeight="1" x14ac:dyDescent="0.4">
      <c r="A114" s="33"/>
      <c r="B114" s="177" t="s">
        <v>150</v>
      </c>
      <c r="C114" s="177"/>
      <c r="D114" s="177"/>
      <c r="E114" s="21"/>
      <c r="F114" s="21" t="s">
        <v>86</v>
      </c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73"/>
      <c r="T114" s="74"/>
    </row>
    <row r="115" spans="1:22" s="7" customFormat="1" ht="30.75" x14ac:dyDescent="0.45">
      <c r="A115" s="6"/>
      <c r="B115" s="29" t="s">
        <v>51</v>
      </c>
      <c r="C115" s="18"/>
      <c r="D115" s="18"/>
      <c r="E115" s="18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75"/>
      <c r="T115" s="76"/>
    </row>
    <row r="116" spans="1:22" s="7" customFormat="1" ht="30.75" hidden="1" x14ac:dyDescent="0.45">
      <c r="A116" s="6"/>
      <c r="B116" s="18"/>
      <c r="C116" s="18"/>
      <c r="D116" s="171">
        <f>7842503.414-D113</f>
        <v>0</v>
      </c>
      <c r="E116" s="171">
        <f>8992060.963-E113</f>
        <v>0</v>
      </c>
      <c r="F116" s="171">
        <f>3167214.088-F113</f>
        <v>0</v>
      </c>
      <c r="G116" s="171">
        <f>766544.198-G113</f>
        <v>9.9999981466680765E-4</v>
      </c>
      <c r="H116" s="171">
        <f>784101.208-H113</f>
        <v>0</v>
      </c>
      <c r="I116" s="171">
        <f>718933.644-I113</f>
        <v>0</v>
      </c>
      <c r="J116" s="171">
        <v>897635.03899999999</v>
      </c>
      <c r="K116" s="171">
        <v>2880093.2919999999</v>
      </c>
      <c r="L116" s="20"/>
      <c r="M116" s="20"/>
      <c r="N116" s="20"/>
      <c r="O116" s="20"/>
      <c r="P116" s="20"/>
      <c r="Q116" s="20"/>
      <c r="R116" s="171"/>
      <c r="S116" s="75"/>
      <c r="T116" s="76"/>
    </row>
    <row r="117" spans="1:22" s="4" customFormat="1" ht="30.75" hidden="1" customHeight="1" x14ac:dyDescent="0.45">
      <c r="A117" s="27"/>
      <c r="B117" s="18"/>
      <c r="C117" s="18"/>
      <c r="D117" s="89">
        <v>7038651.0020000003</v>
      </c>
      <c r="E117" s="89">
        <v>7105458.6289999997</v>
      </c>
      <c r="F117" s="89">
        <v>606430.53099999996</v>
      </c>
      <c r="G117" s="90"/>
      <c r="H117" s="90"/>
      <c r="I117" s="90"/>
      <c r="J117" s="90"/>
      <c r="K117" s="89">
        <v>426665.16200000001</v>
      </c>
      <c r="L117" s="90"/>
      <c r="M117" s="90"/>
      <c r="N117" s="90"/>
      <c r="O117" s="90"/>
      <c r="P117" s="90"/>
      <c r="Q117" s="90"/>
      <c r="R117" s="89"/>
      <c r="S117" s="5"/>
    </row>
    <row r="118" spans="1:22" ht="30.75" hidden="1" x14ac:dyDescent="0.45">
      <c r="B118" s="29"/>
      <c r="C118" s="20"/>
      <c r="D118" s="20"/>
      <c r="E118" s="171">
        <v>8843175.5</v>
      </c>
      <c r="F118" s="171">
        <v>2270878.9890000001</v>
      </c>
      <c r="G118" s="20"/>
      <c r="H118" s="20"/>
      <c r="I118" s="20"/>
      <c r="J118" s="171">
        <f>J113-J116</f>
        <v>0</v>
      </c>
      <c r="K118" s="171">
        <f>K113-K116</f>
        <v>0</v>
      </c>
      <c r="L118" s="20"/>
      <c r="M118" s="20"/>
      <c r="N118" s="20"/>
      <c r="O118" s="20"/>
      <c r="P118" s="20"/>
      <c r="Q118" s="20"/>
      <c r="R118" s="20"/>
    </row>
    <row r="119" spans="1:22" s="2" customFormat="1" ht="30.75" hidden="1" x14ac:dyDescent="0.45">
      <c r="A119" s="28"/>
      <c r="B119" s="18"/>
      <c r="C119" s="18"/>
      <c r="D119" s="18"/>
      <c r="E119" s="18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166"/>
    </row>
    <row r="120" spans="1:22" s="2" customFormat="1" ht="30.75" hidden="1" x14ac:dyDescent="0.45">
      <c r="A120" s="28"/>
      <c r="B120" s="18"/>
      <c r="C120" s="18"/>
      <c r="D120" s="18"/>
      <c r="E120" s="18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166"/>
    </row>
    <row r="121" spans="1:22" s="2" customFormat="1" ht="30.75" hidden="1" x14ac:dyDescent="0.45">
      <c r="A121" s="28"/>
      <c r="B121" s="29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166"/>
    </row>
    <row r="122" spans="1:22" ht="18.75" hidden="1" x14ac:dyDescent="0.3">
      <c r="B122" s="27"/>
      <c r="D122" s="89">
        <f>D117-D113</f>
        <v>-803852.41199999955</v>
      </c>
      <c r="E122" s="89">
        <f>E117-E113</f>
        <v>-1886602.3339999998</v>
      </c>
      <c r="F122" s="89">
        <f>F117-F113</f>
        <v>-2560783.557</v>
      </c>
      <c r="K122" s="89">
        <f>K117-K113</f>
        <v>-2453428.1299999994</v>
      </c>
      <c r="R122" s="89"/>
    </row>
    <row r="123" spans="1:22" ht="18.75" hidden="1" x14ac:dyDescent="0.3">
      <c r="B123" s="27"/>
      <c r="D123" s="89"/>
      <c r="E123" s="89">
        <v>6341594.04</v>
      </c>
      <c r="F123" s="89">
        <v>6497781.0829999996</v>
      </c>
      <c r="R123" s="89"/>
    </row>
    <row r="124" spans="1:22" ht="18.75" hidden="1" x14ac:dyDescent="0.3">
      <c r="B124" s="27"/>
      <c r="D124" s="89"/>
      <c r="E124" s="89">
        <f>E123-E113</f>
        <v>-2650466.9229999995</v>
      </c>
      <c r="F124" s="89">
        <f>F123-F113</f>
        <v>3330566.9949999996</v>
      </c>
      <c r="R124" s="89"/>
    </row>
    <row r="125" spans="1:22" ht="18.75" hidden="1" customHeight="1" x14ac:dyDescent="0.3">
      <c r="B125" s="4"/>
      <c r="C125" s="3"/>
      <c r="D125" s="3"/>
      <c r="E125" s="3"/>
      <c r="L125" s="180" t="s">
        <v>48</v>
      </c>
      <c r="M125" s="180"/>
      <c r="N125" s="160">
        <f>E51/12*4</f>
        <v>2578597.892</v>
      </c>
    </row>
    <row r="126" spans="1:22" ht="22.5" hidden="1" x14ac:dyDescent="0.3">
      <c r="B126" s="4"/>
      <c r="C126" s="3"/>
      <c r="D126" s="3"/>
      <c r="E126" s="95"/>
      <c r="F126" s="95"/>
      <c r="L126" s="166"/>
      <c r="M126" s="166"/>
      <c r="N126" s="160">
        <f>N125-N51</f>
        <v>0</v>
      </c>
      <c r="R126" s="95"/>
    </row>
    <row r="127" spans="1:22" ht="18.75" hidden="1" customHeight="1" x14ac:dyDescent="0.3">
      <c r="B127" s="4"/>
      <c r="C127" s="3"/>
      <c r="D127" s="3"/>
      <c r="E127" s="3"/>
      <c r="L127" s="180" t="s">
        <v>49</v>
      </c>
      <c r="M127" s="180"/>
      <c r="N127" s="160">
        <f>E92/12*4</f>
        <v>63810.915666666668</v>
      </c>
    </row>
    <row r="128" spans="1:22" ht="18.75" hidden="1" x14ac:dyDescent="0.3">
      <c r="B128" s="4"/>
      <c r="C128" s="3"/>
      <c r="D128" s="3"/>
      <c r="E128" s="3"/>
      <c r="L128" s="166"/>
      <c r="M128" s="166"/>
      <c r="N128" s="160">
        <f>N127-N92</f>
        <v>0</v>
      </c>
    </row>
    <row r="129" spans="2:45" ht="18.75" hidden="1" x14ac:dyDescent="0.3">
      <c r="B129" s="96"/>
      <c r="C129" s="3"/>
      <c r="D129" s="3"/>
      <c r="E129" s="3"/>
      <c r="L129" s="180" t="s">
        <v>50</v>
      </c>
      <c r="M129" s="180"/>
      <c r="N129" s="160">
        <f>N127+N96</f>
        <v>63810.915666666668</v>
      </c>
    </row>
    <row r="130" spans="2:45" ht="18.75" hidden="1" x14ac:dyDescent="0.3">
      <c r="B130" s="4"/>
      <c r="C130" s="3"/>
      <c r="D130" s="3"/>
      <c r="E130" s="3"/>
      <c r="L130" s="166"/>
      <c r="M130" s="166"/>
      <c r="N130" s="160">
        <f>N129-N101</f>
        <v>0</v>
      </c>
    </row>
    <row r="131" spans="2:45" s="19" customFormat="1" ht="18.75" hidden="1" x14ac:dyDescent="0.3">
      <c r="B131" s="4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1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</row>
    <row r="132" spans="2:45" s="19" customFormat="1" ht="18.75" hidden="1" x14ac:dyDescent="0.3">
      <c r="B132" s="4"/>
      <c r="C132" s="3"/>
      <c r="D132" s="3"/>
      <c r="E132" s="90"/>
      <c r="F132" s="90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90"/>
      <c r="S132" s="1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</row>
    <row r="133" spans="2:45" s="19" customFormat="1" ht="18.75" hidden="1" x14ac:dyDescent="0.3">
      <c r="B133" s="4"/>
      <c r="C133" s="3"/>
      <c r="D133" s="172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1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</row>
    <row r="134" spans="2:45" s="19" customFormat="1" ht="18.75" hidden="1" x14ac:dyDescent="0.3">
      <c r="B134" s="4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1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</row>
    <row r="135" spans="2:45" s="19" customFormat="1" ht="22.5" hidden="1" x14ac:dyDescent="0.3">
      <c r="B135" s="4"/>
      <c r="C135" s="3"/>
      <c r="D135" s="95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1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</row>
    <row r="136" spans="2:45" s="19" customFormat="1" ht="18.75" hidden="1" x14ac:dyDescent="0.3">
      <c r="B136" s="4"/>
      <c r="C136" s="3"/>
      <c r="D136" s="3"/>
      <c r="E136" s="3"/>
      <c r="F136" s="90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90"/>
      <c r="S136" s="1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</row>
    <row r="137" spans="2:45" s="19" customFormat="1" ht="18.75" hidden="1" x14ac:dyDescent="0.3">
      <c r="B137" s="4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1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</row>
    <row r="138" spans="2:45" s="19" customFormat="1" ht="18.75" hidden="1" x14ac:dyDescent="0.3">
      <c r="B138" s="4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1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</row>
    <row r="139" spans="2:45" s="19" customFormat="1" ht="23.25" hidden="1" x14ac:dyDescent="0.3">
      <c r="B139" s="27"/>
      <c r="E139" s="171">
        <v>8829205.5800000001</v>
      </c>
      <c r="F139" s="171">
        <v>766544.19799999997</v>
      </c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1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</row>
    <row r="140" spans="2:45" s="19" customFormat="1" ht="23.25" hidden="1" x14ac:dyDescent="0.3">
      <c r="B140" s="27"/>
      <c r="F140" s="171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1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</row>
    <row r="141" spans="2:45" hidden="1" x14ac:dyDescent="0.2"/>
    <row r="142" spans="2:45" hidden="1" x14ac:dyDescent="0.2">
      <c r="K142" s="3">
        <v>621456518.53999996</v>
      </c>
    </row>
    <row r="143" spans="2:45" hidden="1" x14ac:dyDescent="0.2"/>
    <row r="144" spans="2:45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</sheetData>
  <mergeCells count="31">
    <mergeCell ref="S3:S4"/>
    <mergeCell ref="A3:A4"/>
    <mergeCell ref="B3:B4"/>
    <mergeCell ref="C3:C4"/>
    <mergeCell ref="D3:D4"/>
    <mergeCell ref="E3:E4"/>
    <mergeCell ref="J3:J4"/>
    <mergeCell ref="H3:H4"/>
    <mergeCell ref="I3:I4"/>
    <mergeCell ref="L125:M125"/>
    <mergeCell ref="L127:M127"/>
    <mergeCell ref="L129:M129"/>
    <mergeCell ref="C15:C17"/>
    <mergeCell ref="C23:C25"/>
    <mergeCell ref="A51:C51"/>
    <mergeCell ref="A1:T1"/>
    <mergeCell ref="A6:T6"/>
    <mergeCell ref="A80:T80"/>
    <mergeCell ref="A102:T102"/>
    <mergeCell ref="B114:D114"/>
    <mergeCell ref="T3:T4"/>
    <mergeCell ref="M3:M4"/>
    <mergeCell ref="N3:N4"/>
    <mergeCell ref="O3:O4"/>
    <mergeCell ref="P3:P4"/>
    <mergeCell ref="Q3:Q4"/>
    <mergeCell ref="R3:R4"/>
    <mergeCell ref="F3:F4"/>
    <mergeCell ref="G3:G4"/>
    <mergeCell ref="K3:K4"/>
    <mergeCell ref="L3:L4"/>
  </mergeCells>
  <printOptions horizontalCentered="1"/>
  <pageMargins left="0.39370078740157483" right="0" top="0" bottom="0" header="0.23622047244094491" footer="0.11811023622047245"/>
  <pageSetup paperSize="8" scale="65" fitToHeight="6" orientation="landscape" horizontalDpi="300" verticalDpi="300" r:id="rId1"/>
  <headerFooter alignWithMargins="0"/>
  <rowBreaks count="1" manualBreakCount="1">
    <brk id="79" max="1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A029950C053C244A6A9F13E4B878893" ma:contentTypeVersion="0" ma:contentTypeDescription="Створення нового документа." ma:contentTypeScope="" ma:versionID="8013ad39d31bd0b6f241a0d4cccdf3c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6c1214ede72f45502cafdd67aec15b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 ma:readOnly="true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3D7FED-1DE7-42FA-B81E-F9B480DFCB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EDC5F1B-D535-4A3F-8E8B-D26E9B299826}">
  <ds:schemaRefs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7165E8A-1497-4595-9DEC-0A096D6544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2026</vt:lpstr>
      <vt:lpstr>'2026'!Заголовки_для_друку</vt:lpstr>
      <vt:lpstr>'2026'!Область_друку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Серветник Максим Миколайович</cp:lastModifiedBy>
  <cp:lastPrinted>2026-05-01T08:21:01Z</cp:lastPrinted>
  <dcterms:created xsi:type="dcterms:W3CDTF">1996-10-08T23:32:33Z</dcterms:created>
  <dcterms:modified xsi:type="dcterms:W3CDTF">2026-05-07T10:52:40Z</dcterms:modified>
</cp:coreProperties>
</file>